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P41" i="1"/>
  <c r="W41"/>
  <c r="V41"/>
  <c r="U41"/>
  <c r="T41"/>
  <c r="Q41"/>
  <c r="N41"/>
  <c r="D41"/>
  <c r="AP40"/>
  <c r="W40"/>
  <c r="V40"/>
  <c r="U40"/>
  <c r="T40"/>
  <c r="Q40"/>
  <c r="N40"/>
  <c r="D40"/>
  <c r="AP39"/>
  <c r="W39"/>
  <c r="V39"/>
  <c r="U39"/>
  <c r="T39"/>
  <c r="Q39"/>
  <c r="N39"/>
  <c r="D39"/>
  <c r="AP38"/>
  <c r="W38"/>
  <c r="V38"/>
  <c r="U38"/>
  <c r="T38"/>
  <c r="Q38"/>
  <c r="N38"/>
  <c r="D38"/>
  <c r="AP37"/>
  <c r="W37"/>
  <c r="V37"/>
  <c r="U37"/>
  <c r="T37"/>
  <c r="Q37"/>
  <c r="N37"/>
  <c r="D37"/>
  <c r="AP36"/>
  <c r="W36"/>
  <c r="V36"/>
  <c r="U36"/>
  <c r="T36"/>
  <c r="Q36"/>
  <c r="N36"/>
  <c r="D36"/>
  <c r="AP35"/>
  <c r="W35"/>
  <c r="V35"/>
  <c r="U35"/>
  <c r="T35"/>
  <c r="Q35"/>
  <c r="N35"/>
  <c r="D35"/>
  <c r="AP34"/>
  <c r="W34"/>
  <c r="V34"/>
  <c r="U34"/>
  <c r="T34"/>
  <c r="Q34"/>
  <c r="O34"/>
  <c r="AI34" s="1"/>
  <c r="AJ34" s="1"/>
  <c r="AK34" s="1"/>
  <c r="N34"/>
  <c r="E34"/>
  <c r="J34" s="1"/>
  <c r="D34"/>
  <c r="K34" s="1"/>
  <c r="C34"/>
  <c r="B34"/>
  <c r="B35" s="1"/>
  <c r="AP33"/>
  <c r="W33"/>
  <c r="V33"/>
  <c r="U33"/>
  <c r="T33"/>
  <c r="Q33"/>
  <c r="N33"/>
  <c r="E33"/>
  <c r="J33" s="1"/>
  <c r="D33"/>
  <c r="K33" s="1"/>
  <c r="O33" s="1"/>
  <c r="C33"/>
  <c r="AP32"/>
  <c r="Y32"/>
  <c r="X32"/>
  <c r="W32"/>
  <c r="V32"/>
  <c r="U32"/>
  <c r="T32"/>
  <c r="Q32"/>
  <c r="Z32" s="1"/>
  <c r="AE32" s="1"/>
  <c r="AL32" s="1"/>
  <c r="AN32" s="1"/>
  <c r="AO32" s="1"/>
  <c r="N32"/>
  <c r="D32"/>
  <c r="AP31"/>
  <c r="Y31"/>
  <c r="X31"/>
  <c r="W31"/>
  <c r="V31"/>
  <c r="U31"/>
  <c r="T31"/>
  <c r="Q31"/>
  <c r="Z31" s="1"/>
  <c r="AE31" s="1"/>
  <c r="AL31" s="1"/>
  <c r="AN31" s="1"/>
  <c r="AO31" s="1"/>
  <c r="N31"/>
  <c r="D31"/>
  <c r="AP30"/>
  <c r="Y30"/>
  <c r="X30"/>
  <c r="W30"/>
  <c r="V30"/>
  <c r="U30"/>
  <c r="T30"/>
  <c r="Q30"/>
  <c r="N30"/>
  <c r="D30"/>
  <c r="AP29"/>
  <c r="Y29"/>
  <c r="X29"/>
  <c r="W29"/>
  <c r="V29"/>
  <c r="U29"/>
  <c r="T29"/>
  <c r="Q29"/>
  <c r="N29"/>
  <c r="D29"/>
  <c r="AP28"/>
  <c r="Y28"/>
  <c r="X28"/>
  <c r="W28"/>
  <c r="V28"/>
  <c r="U28"/>
  <c r="T28"/>
  <c r="Q28"/>
  <c r="Z28" s="1"/>
  <c r="AE28" s="1"/>
  <c r="AL28" s="1"/>
  <c r="AN28" s="1"/>
  <c r="AO28" s="1"/>
  <c r="N28"/>
  <c r="D28"/>
  <c r="AP27"/>
  <c r="Y27"/>
  <c r="X27"/>
  <c r="W27"/>
  <c r="V27"/>
  <c r="U27"/>
  <c r="T27"/>
  <c r="Q27"/>
  <c r="N27"/>
  <c r="D27"/>
  <c r="AP26"/>
  <c r="Y26"/>
  <c r="X26"/>
  <c r="W26"/>
  <c r="V26"/>
  <c r="U26"/>
  <c r="T26"/>
  <c r="Q26"/>
  <c r="N26"/>
  <c r="D26"/>
  <c r="AP25"/>
  <c r="Y25"/>
  <c r="X25"/>
  <c r="W25"/>
  <c r="V25"/>
  <c r="U25"/>
  <c r="T25"/>
  <c r="Q25"/>
  <c r="Z25" s="1"/>
  <c r="AF25" s="1"/>
  <c r="AG25" s="1"/>
  <c r="N25"/>
  <c r="D25"/>
  <c r="C25"/>
  <c r="B25"/>
  <c r="B26" s="1"/>
  <c r="B27" s="1"/>
  <c r="B28" s="1"/>
  <c r="AP24"/>
  <c r="Y24"/>
  <c r="AF24" s="1"/>
  <c r="AG24" s="1"/>
  <c r="X24"/>
  <c r="W24"/>
  <c r="V24"/>
  <c r="U24"/>
  <c r="T24"/>
  <c r="Q24"/>
  <c r="Z24" s="1"/>
  <c r="N24"/>
  <c r="D24"/>
  <c r="C24"/>
  <c r="AP23"/>
  <c r="W23"/>
  <c r="Y23" s="1"/>
  <c r="AF23" s="1"/>
  <c r="AG23" s="1"/>
  <c r="V23"/>
  <c r="U23"/>
  <c r="T23"/>
  <c r="Q23"/>
  <c r="Z23" s="1"/>
  <c r="N23"/>
  <c r="D23"/>
  <c r="AP22"/>
  <c r="X22"/>
  <c r="W22"/>
  <c r="Y22" s="1"/>
  <c r="AF22" s="1"/>
  <c r="AG22" s="1"/>
  <c r="V22"/>
  <c r="U22"/>
  <c r="T22"/>
  <c r="Q22"/>
  <c r="Z22" s="1"/>
  <c r="AE22" s="1"/>
  <c r="AL22" s="1"/>
  <c r="AN22" s="1"/>
  <c r="AO22" s="1"/>
  <c r="N22"/>
  <c r="D22"/>
  <c r="AP21"/>
  <c r="AF21"/>
  <c r="AE21"/>
  <c r="AL21" s="1"/>
  <c r="AN21" s="1"/>
  <c r="AO21" s="1"/>
  <c r="X21"/>
  <c r="W21"/>
  <c r="Y21" s="1"/>
  <c r="V21"/>
  <c r="U21"/>
  <c r="T21"/>
  <c r="Q21"/>
  <c r="Z21" s="1"/>
  <c r="N21"/>
  <c r="D21"/>
  <c r="AP20"/>
  <c r="AF20"/>
  <c r="AG20" s="1"/>
  <c r="W20"/>
  <c r="Y20" s="1"/>
  <c r="V20"/>
  <c r="U20"/>
  <c r="T20"/>
  <c r="Q20"/>
  <c r="Z20" s="1"/>
  <c r="N20"/>
  <c r="D20"/>
  <c r="AP19"/>
  <c r="W19"/>
  <c r="Y19" s="1"/>
  <c r="V19"/>
  <c r="U19"/>
  <c r="T19"/>
  <c r="Q19"/>
  <c r="N19"/>
  <c r="D19"/>
  <c r="AP18"/>
  <c r="X18"/>
  <c r="W18"/>
  <c r="Y18" s="1"/>
  <c r="AF18" s="1"/>
  <c r="AG18" s="1"/>
  <c r="V18"/>
  <c r="U18"/>
  <c r="T18"/>
  <c r="Q18"/>
  <c r="Z18" s="1"/>
  <c r="AE18" s="1"/>
  <c r="AL18" s="1"/>
  <c r="AN18" s="1"/>
  <c r="AO18" s="1"/>
  <c r="N18"/>
  <c r="D18"/>
  <c r="AP17"/>
  <c r="AF17"/>
  <c r="AE17"/>
  <c r="AL17" s="1"/>
  <c r="AN17" s="1"/>
  <c r="AO17" s="1"/>
  <c r="X17"/>
  <c r="W17"/>
  <c r="Y17" s="1"/>
  <c r="V17"/>
  <c r="U17"/>
  <c r="T17"/>
  <c r="Q17"/>
  <c r="Z17" s="1"/>
  <c r="N17"/>
  <c r="D17"/>
  <c r="B17"/>
  <c r="B18" s="1"/>
  <c r="AP16"/>
  <c r="AF16"/>
  <c r="AG16" s="1"/>
  <c r="W16"/>
  <c r="Y16" s="1"/>
  <c r="V16"/>
  <c r="U16"/>
  <c r="T16"/>
  <c r="Q16"/>
  <c r="Z16" s="1"/>
  <c r="N16"/>
  <c r="D16"/>
  <c r="C16"/>
  <c r="E16" s="1"/>
  <c r="K16" s="1"/>
  <c r="O16" s="1"/>
  <c r="B16"/>
  <c r="AP15"/>
  <c r="W15"/>
  <c r="Y15" s="1"/>
  <c r="AF15" s="1"/>
  <c r="AG15" s="1"/>
  <c r="V15"/>
  <c r="U15"/>
  <c r="T15"/>
  <c r="Q15"/>
  <c r="Z15" s="1"/>
  <c r="N15"/>
  <c r="D15"/>
  <c r="C15"/>
  <c r="E15" s="1"/>
  <c r="J15" s="1"/>
  <c r="AP14"/>
  <c r="W14"/>
  <c r="V14"/>
  <c r="U14"/>
  <c r="T14"/>
  <c r="Q14"/>
  <c r="N14"/>
  <c r="D14"/>
  <c r="AP13"/>
  <c r="W13"/>
  <c r="V13"/>
  <c r="U13"/>
  <c r="T13"/>
  <c r="Q13"/>
  <c r="N13"/>
  <c r="D13"/>
  <c r="AP12"/>
  <c r="W12"/>
  <c r="V12"/>
  <c r="U12"/>
  <c r="T12"/>
  <c r="Q12"/>
  <c r="N12"/>
  <c r="D12"/>
  <c r="AP11"/>
  <c r="W11"/>
  <c r="V11"/>
  <c r="U11"/>
  <c r="T11"/>
  <c r="Q11"/>
  <c r="N11"/>
  <c r="D11"/>
  <c r="AP10"/>
  <c r="W10"/>
  <c r="V10"/>
  <c r="U10"/>
  <c r="T10"/>
  <c r="Q10"/>
  <c r="N10"/>
  <c r="D10"/>
  <c r="AP9"/>
  <c r="W9"/>
  <c r="V9"/>
  <c r="U9"/>
  <c r="T9"/>
  <c r="Q9"/>
  <c r="N9"/>
  <c r="D9"/>
  <c r="AP8"/>
  <c r="W8"/>
  <c r="V8"/>
  <c r="U8"/>
  <c r="T8"/>
  <c r="Q8"/>
  <c r="N8"/>
  <c r="D8"/>
  <c r="B8"/>
  <c r="C8" s="1"/>
  <c r="E8" s="1"/>
  <c r="AP7"/>
  <c r="W7"/>
  <c r="V7"/>
  <c r="U7"/>
  <c r="T7"/>
  <c r="Q7"/>
  <c r="N7"/>
  <c r="D7"/>
  <c r="B7"/>
  <c r="C7" s="1"/>
  <c r="E7" s="1"/>
  <c r="AP6"/>
  <c r="W6"/>
  <c r="V6"/>
  <c r="U6"/>
  <c r="T6"/>
  <c r="Q6"/>
  <c r="N6"/>
  <c r="E6"/>
  <c r="K6" s="1"/>
  <c r="O6" s="1"/>
  <c r="D6"/>
  <c r="C6"/>
  <c r="B19" l="1"/>
  <c r="C18"/>
  <c r="E18" s="1"/>
  <c r="AI33"/>
  <c r="AJ33" s="1"/>
  <c r="AK33" s="1"/>
  <c r="K8"/>
  <c r="O8" s="1"/>
  <c r="J8"/>
  <c r="AI6"/>
  <c r="AJ6" s="1"/>
  <c r="AK6" s="1"/>
  <c r="K7"/>
  <c r="O7" s="1"/>
  <c r="J7"/>
  <c r="AH16"/>
  <c r="AI16"/>
  <c r="AJ16" s="1"/>
  <c r="AK16" s="1"/>
  <c r="AE15"/>
  <c r="AL15" s="1"/>
  <c r="AN15" s="1"/>
  <c r="AO15" s="1"/>
  <c r="Z14"/>
  <c r="AE14" s="1"/>
  <c r="AL14" s="1"/>
  <c r="AN14" s="1"/>
  <c r="AO14" s="1"/>
  <c r="K24"/>
  <c r="O24" s="1"/>
  <c r="K25"/>
  <c r="O25" s="1"/>
  <c r="X10"/>
  <c r="Y10"/>
  <c r="Z10" s="1"/>
  <c r="AE10" s="1"/>
  <c r="AL10" s="1"/>
  <c r="AN10" s="1"/>
  <c r="AO10" s="1"/>
  <c r="X14"/>
  <c r="Y14"/>
  <c r="X33"/>
  <c r="Y33"/>
  <c r="B36"/>
  <c r="C35"/>
  <c r="E35" s="1"/>
  <c r="J35" s="1"/>
  <c r="Y39"/>
  <c r="X39"/>
  <c r="X8"/>
  <c r="Y8"/>
  <c r="X12"/>
  <c r="Y12"/>
  <c r="C28"/>
  <c r="E28" s="1"/>
  <c r="J28" s="1"/>
  <c r="B29"/>
  <c r="X36"/>
  <c r="Y36"/>
  <c r="X40"/>
  <c r="Y40"/>
  <c r="K15"/>
  <c r="O15" s="1"/>
  <c r="J16"/>
  <c r="X16"/>
  <c r="AE16" s="1"/>
  <c r="AL16" s="1"/>
  <c r="AN16" s="1"/>
  <c r="AO16" s="1"/>
  <c r="X20"/>
  <c r="AE20" s="1"/>
  <c r="AL20" s="1"/>
  <c r="AN20" s="1"/>
  <c r="AO20" s="1"/>
  <c r="C26"/>
  <c r="E26" s="1"/>
  <c r="Z26"/>
  <c r="AE26" s="1"/>
  <c r="AL26" s="1"/>
  <c r="AN26" s="1"/>
  <c r="AO26" s="1"/>
  <c r="K28"/>
  <c r="O28" s="1"/>
  <c r="AF28"/>
  <c r="AG28" s="1"/>
  <c r="Z30"/>
  <c r="AE30" s="1"/>
  <c r="AL30" s="1"/>
  <c r="AN30" s="1"/>
  <c r="AO30" s="1"/>
  <c r="AF32"/>
  <c r="AG32" s="1"/>
  <c r="X6"/>
  <c r="Y6"/>
  <c r="X34"/>
  <c r="Y34"/>
  <c r="X38"/>
  <c r="Y38"/>
  <c r="X9"/>
  <c r="Y9"/>
  <c r="X13"/>
  <c r="Y13"/>
  <c r="X35"/>
  <c r="Y35"/>
  <c r="X7"/>
  <c r="Y7"/>
  <c r="X11"/>
  <c r="Y11"/>
  <c r="X37"/>
  <c r="Y37"/>
  <c r="X41"/>
  <c r="Y41"/>
  <c r="Z19"/>
  <c r="AF30"/>
  <c r="AG30" s="1"/>
  <c r="K35"/>
  <c r="O35" s="1"/>
  <c r="E24"/>
  <c r="J24" s="1"/>
  <c r="AE24"/>
  <c r="AL24" s="1"/>
  <c r="AN24" s="1"/>
  <c r="AO24" s="1"/>
  <c r="E25"/>
  <c r="J25" s="1"/>
  <c r="AE25"/>
  <c r="AL25" s="1"/>
  <c r="AN25" s="1"/>
  <c r="AO25" s="1"/>
  <c r="J6"/>
  <c r="B9"/>
  <c r="X15"/>
  <c r="C17"/>
  <c r="E17" s="1"/>
  <c r="AG17"/>
  <c r="X19"/>
  <c r="AG21"/>
  <c r="X23"/>
  <c r="AE23" s="1"/>
  <c r="AL23" s="1"/>
  <c r="AN23" s="1"/>
  <c r="AO23" s="1"/>
  <c r="C27"/>
  <c r="E27" s="1"/>
  <c r="Z27"/>
  <c r="Z29"/>
  <c r="AE29" s="1"/>
  <c r="AL29" s="1"/>
  <c r="AN29" s="1"/>
  <c r="AO29" s="1"/>
  <c r="AF31"/>
  <c r="AG31" s="1"/>
  <c r="AH24" l="1"/>
  <c r="AI24"/>
  <c r="AJ24" s="1"/>
  <c r="AK24" s="1"/>
  <c r="AQ24" s="1"/>
  <c r="AR24" s="1"/>
  <c r="AI8"/>
  <c r="AJ8" s="1"/>
  <c r="AK8" s="1"/>
  <c r="AH28"/>
  <c r="AI28"/>
  <c r="AJ28" s="1"/>
  <c r="AK28" s="1"/>
  <c r="AQ28" s="1"/>
  <c r="AR28" s="1"/>
  <c r="Z12"/>
  <c r="AE12" s="1"/>
  <c r="AL12" s="1"/>
  <c r="AN12" s="1"/>
  <c r="AO12" s="1"/>
  <c r="AF33"/>
  <c r="AG33" s="1"/>
  <c r="AH33" s="1"/>
  <c r="Z33"/>
  <c r="AE33" s="1"/>
  <c r="AL33" s="1"/>
  <c r="AN33" s="1"/>
  <c r="AO33" s="1"/>
  <c r="AQ33" s="1"/>
  <c r="AR33" s="1"/>
  <c r="AH25"/>
  <c r="AI25"/>
  <c r="AJ25" s="1"/>
  <c r="AK25" s="1"/>
  <c r="AQ25" s="1"/>
  <c r="AR25" s="1"/>
  <c r="K18"/>
  <c r="O18" s="1"/>
  <c r="J18"/>
  <c r="J17"/>
  <c r="K17"/>
  <c r="O17" s="1"/>
  <c r="B37"/>
  <c r="C36"/>
  <c r="E36" s="1"/>
  <c r="AF6"/>
  <c r="AG6" s="1"/>
  <c r="AH6" s="1"/>
  <c r="AF29"/>
  <c r="AG29" s="1"/>
  <c r="Z7"/>
  <c r="AE7" s="1"/>
  <c r="AL7" s="1"/>
  <c r="AN7" s="1"/>
  <c r="AO7" s="1"/>
  <c r="Z6"/>
  <c r="AE6" s="1"/>
  <c r="AL6" s="1"/>
  <c r="AN6" s="1"/>
  <c r="AO6" s="1"/>
  <c r="AE27"/>
  <c r="AL27" s="1"/>
  <c r="AN27" s="1"/>
  <c r="AO27" s="1"/>
  <c r="AF27"/>
  <c r="AG27" s="1"/>
  <c r="C9"/>
  <c r="E9" s="1"/>
  <c r="B10"/>
  <c r="AF39"/>
  <c r="AG39" s="1"/>
  <c r="Z39"/>
  <c r="AE39" s="1"/>
  <c r="AL39" s="1"/>
  <c r="AN39" s="1"/>
  <c r="AO39" s="1"/>
  <c r="AI7"/>
  <c r="AJ7" s="1"/>
  <c r="AK7" s="1"/>
  <c r="B20"/>
  <c r="C19"/>
  <c r="E19" s="1"/>
  <c r="Z37"/>
  <c r="AE37" s="1"/>
  <c r="AL37" s="1"/>
  <c r="AN37" s="1"/>
  <c r="AO37" s="1"/>
  <c r="AF13"/>
  <c r="AG13" s="1"/>
  <c r="Z13"/>
  <c r="AE13" s="1"/>
  <c r="AL13" s="1"/>
  <c r="AN13" s="1"/>
  <c r="AO13" s="1"/>
  <c r="Z38"/>
  <c r="AE38" s="1"/>
  <c r="AL38" s="1"/>
  <c r="AN38" s="1"/>
  <c r="AO38" s="1"/>
  <c r="AF36"/>
  <c r="AG36" s="1"/>
  <c r="Z36"/>
  <c r="AE36" s="1"/>
  <c r="AL36" s="1"/>
  <c r="AN36" s="1"/>
  <c r="AO36" s="1"/>
  <c r="J27"/>
  <c r="K27"/>
  <c r="O27" s="1"/>
  <c r="AI35"/>
  <c r="AJ35" s="1"/>
  <c r="AK35" s="1"/>
  <c r="AQ35" s="1"/>
  <c r="AR35" s="1"/>
  <c r="Z41"/>
  <c r="AE41" s="1"/>
  <c r="AL41" s="1"/>
  <c r="AN41" s="1"/>
  <c r="AO41" s="1"/>
  <c r="AF35"/>
  <c r="AG35" s="1"/>
  <c r="AH35" s="1"/>
  <c r="Z35"/>
  <c r="AE35" s="1"/>
  <c r="AL35" s="1"/>
  <c r="AN35" s="1"/>
  <c r="AO35" s="1"/>
  <c r="Z9"/>
  <c r="AE9" s="1"/>
  <c r="AL9" s="1"/>
  <c r="AN9" s="1"/>
  <c r="AO9" s="1"/>
  <c r="AF34"/>
  <c r="AG34" s="1"/>
  <c r="AH34" s="1"/>
  <c r="Z34"/>
  <c r="AE34" s="1"/>
  <c r="AL34" s="1"/>
  <c r="AN34" s="1"/>
  <c r="AO34" s="1"/>
  <c r="AQ34" s="1"/>
  <c r="AR34" s="1"/>
  <c r="J26"/>
  <c r="K26"/>
  <c r="O26" s="1"/>
  <c r="AH15"/>
  <c r="AI15"/>
  <c r="AJ15" s="1"/>
  <c r="AK15" s="1"/>
  <c r="AQ15" s="1"/>
  <c r="AR15" s="1"/>
  <c r="Z40"/>
  <c r="AE40" s="1"/>
  <c r="AL40" s="1"/>
  <c r="AN40" s="1"/>
  <c r="AO40" s="1"/>
  <c r="C29"/>
  <c r="E29" s="1"/>
  <c r="B30"/>
  <c r="Z8"/>
  <c r="AE8" s="1"/>
  <c r="AL8" s="1"/>
  <c r="AN8" s="1"/>
  <c r="AO8" s="1"/>
  <c r="AE19"/>
  <c r="AL19" s="1"/>
  <c r="AN19" s="1"/>
  <c r="AO19" s="1"/>
  <c r="AF10"/>
  <c r="AG10" s="1"/>
  <c r="AF19"/>
  <c r="AG19" s="1"/>
  <c r="AF11"/>
  <c r="AG11" s="1"/>
  <c r="AF14"/>
  <c r="AG14" s="1"/>
  <c r="AF26"/>
  <c r="AG26" s="1"/>
  <c r="Z11"/>
  <c r="AE11" s="1"/>
  <c r="AL11" s="1"/>
  <c r="AN11" s="1"/>
  <c r="AO11" s="1"/>
  <c r="AQ16"/>
  <c r="AR16" s="1"/>
  <c r="AQ6"/>
  <c r="AR6" s="1"/>
  <c r="AS33" l="1"/>
  <c r="AU33" s="1"/>
  <c r="AT33"/>
  <c r="AS6"/>
  <c r="AU6" s="1"/>
  <c r="AT6"/>
  <c r="AS35"/>
  <c r="AT35"/>
  <c r="B21"/>
  <c r="C20"/>
  <c r="E20" s="1"/>
  <c r="B38"/>
  <c r="C37"/>
  <c r="E37" s="1"/>
  <c r="C30"/>
  <c r="E30" s="1"/>
  <c r="B31"/>
  <c r="AT15"/>
  <c r="AS15"/>
  <c r="AU15" s="1"/>
  <c r="J19"/>
  <c r="K19"/>
  <c r="O19" s="1"/>
  <c r="J36"/>
  <c r="K36"/>
  <c r="O36" s="1"/>
  <c r="AS28"/>
  <c r="AT28"/>
  <c r="AT24"/>
  <c r="AS24"/>
  <c r="AU24" s="1"/>
  <c r="K9"/>
  <c r="O9" s="1"/>
  <c r="J9"/>
  <c r="AF8"/>
  <c r="AG8" s="1"/>
  <c r="AH8" s="1"/>
  <c r="AF40"/>
  <c r="AG40" s="1"/>
  <c r="AF9"/>
  <c r="AG9" s="1"/>
  <c r="AF41"/>
  <c r="AG41" s="1"/>
  <c r="AF38"/>
  <c r="AG38" s="1"/>
  <c r="AF37"/>
  <c r="AG37" s="1"/>
  <c r="AQ7"/>
  <c r="AR7" s="1"/>
  <c r="AF7"/>
  <c r="AG7" s="1"/>
  <c r="AH7" s="1"/>
  <c r="AF12"/>
  <c r="AG12" s="1"/>
  <c r="J29"/>
  <c r="K29"/>
  <c r="O29" s="1"/>
  <c r="AH18"/>
  <c r="AI18"/>
  <c r="AJ18" s="1"/>
  <c r="AK18" s="1"/>
  <c r="AQ18" s="1"/>
  <c r="AR18" s="1"/>
  <c r="AS34"/>
  <c r="AT34"/>
  <c r="AT16"/>
  <c r="AS16"/>
  <c r="AH26"/>
  <c r="AI26"/>
  <c r="AJ26" s="1"/>
  <c r="AK26" s="1"/>
  <c r="AQ26" s="1"/>
  <c r="AR26" s="1"/>
  <c r="AH27"/>
  <c r="AI27"/>
  <c r="AJ27" s="1"/>
  <c r="AK27" s="1"/>
  <c r="AQ27" s="1"/>
  <c r="AR27" s="1"/>
  <c r="C10"/>
  <c r="E10" s="1"/>
  <c r="B11"/>
  <c r="AH17"/>
  <c r="AI17"/>
  <c r="AJ17" s="1"/>
  <c r="AK17" s="1"/>
  <c r="AQ17" s="1"/>
  <c r="AR17" s="1"/>
  <c r="AT25"/>
  <c r="AS25"/>
  <c r="AQ8"/>
  <c r="AR8" s="1"/>
  <c r="C11" l="1"/>
  <c r="E11" s="1"/>
  <c r="B12"/>
  <c r="AS26"/>
  <c r="AT26"/>
  <c r="AH29"/>
  <c r="AI29"/>
  <c r="AJ29" s="1"/>
  <c r="AK29" s="1"/>
  <c r="AQ29" s="1"/>
  <c r="AR29" s="1"/>
  <c r="AS7"/>
  <c r="AU7" s="1"/>
  <c r="AT7"/>
  <c r="AI9"/>
  <c r="AJ9" s="1"/>
  <c r="AK9" s="1"/>
  <c r="AQ9" s="1"/>
  <c r="AR9" s="1"/>
  <c r="AH9"/>
  <c r="J30"/>
  <c r="K30"/>
  <c r="O30" s="1"/>
  <c r="B22"/>
  <c r="C21"/>
  <c r="E21" s="1"/>
  <c r="AU25"/>
  <c r="AT17"/>
  <c r="AS17"/>
  <c r="AU17" s="1"/>
  <c r="AS27"/>
  <c r="AT27"/>
  <c r="AT18"/>
  <c r="AS18"/>
  <c r="B39"/>
  <c r="C38"/>
  <c r="E38" s="1"/>
  <c r="K10"/>
  <c r="O10" s="1"/>
  <c r="J10"/>
  <c r="AI36"/>
  <c r="AJ36" s="1"/>
  <c r="AK36" s="1"/>
  <c r="AQ36" s="1"/>
  <c r="AR36" s="1"/>
  <c r="AH36"/>
  <c r="J37"/>
  <c r="K37"/>
  <c r="O37" s="1"/>
  <c r="AS8"/>
  <c r="AU8" s="1"/>
  <c r="AT8"/>
  <c r="AH19"/>
  <c r="AI19"/>
  <c r="AJ19" s="1"/>
  <c r="AK19" s="1"/>
  <c r="AQ19" s="1"/>
  <c r="AR19" s="1"/>
  <c r="B32"/>
  <c r="C32" s="1"/>
  <c r="E32" s="1"/>
  <c r="C31"/>
  <c r="E31" s="1"/>
  <c r="K20"/>
  <c r="O20" s="1"/>
  <c r="J20"/>
  <c r="AU16"/>
  <c r="AU34"/>
  <c r="AH10" l="1"/>
  <c r="AI10"/>
  <c r="AJ10" s="1"/>
  <c r="AK10" s="1"/>
  <c r="AQ10" s="1"/>
  <c r="AR10" s="1"/>
  <c r="B23"/>
  <c r="C23" s="1"/>
  <c r="E23" s="1"/>
  <c r="C22"/>
  <c r="E22" s="1"/>
  <c r="K11"/>
  <c r="O11" s="1"/>
  <c r="J11"/>
  <c r="AI37"/>
  <c r="AJ37" s="1"/>
  <c r="AK37" s="1"/>
  <c r="AQ37" s="1"/>
  <c r="AR37" s="1"/>
  <c r="AH37"/>
  <c r="J21"/>
  <c r="K21"/>
  <c r="O21" s="1"/>
  <c r="C12"/>
  <c r="E12" s="1"/>
  <c r="B13"/>
  <c r="J32"/>
  <c r="K32"/>
  <c r="O32" s="1"/>
  <c r="AS36"/>
  <c r="AU36" s="1"/>
  <c r="AT36"/>
  <c r="B40"/>
  <c r="C39"/>
  <c r="E39" s="1"/>
  <c r="AU18"/>
  <c r="AU26"/>
  <c r="AH20"/>
  <c r="AI20"/>
  <c r="AJ20" s="1"/>
  <c r="AK20" s="1"/>
  <c r="AQ20" s="1"/>
  <c r="AR20" s="1"/>
  <c r="AS9"/>
  <c r="AU9" s="1"/>
  <c r="AT9"/>
  <c r="AT19"/>
  <c r="AS19"/>
  <c r="AS29"/>
  <c r="AT29"/>
  <c r="J31"/>
  <c r="K31"/>
  <c r="O31" s="1"/>
  <c r="J38"/>
  <c r="K38"/>
  <c r="O38" s="1"/>
  <c r="AH30"/>
  <c r="AI30"/>
  <c r="AJ30" s="1"/>
  <c r="AK30" s="1"/>
  <c r="AQ30" s="1"/>
  <c r="AR30" s="1"/>
  <c r="AU35"/>
  <c r="AH32" l="1"/>
  <c r="AI32"/>
  <c r="AJ32" s="1"/>
  <c r="AK32" s="1"/>
  <c r="AQ32" s="1"/>
  <c r="AR32" s="1"/>
  <c r="AS30"/>
  <c r="AT30"/>
  <c r="AH31"/>
  <c r="AI31"/>
  <c r="AJ31" s="1"/>
  <c r="AK31" s="1"/>
  <c r="AQ31" s="1"/>
  <c r="AR31" s="1"/>
  <c r="AT20"/>
  <c r="AS20"/>
  <c r="K12"/>
  <c r="O12" s="1"/>
  <c r="J12"/>
  <c r="AS37"/>
  <c r="AT37"/>
  <c r="J23"/>
  <c r="K23"/>
  <c r="O23" s="1"/>
  <c r="AI38"/>
  <c r="AJ38" s="1"/>
  <c r="AK38" s="1"/>
  <c r="AQ38" s="1"/>
  <c r="AR38" s="1"/>
  <c r="AH38"/>
  <c r="B41"/>
  <c r="C41" s="1"/>
  <c r="E41" s="1"/>
  <c r="C40"/>
  <c r="E40" s="1"/>
  <c r="AI11"/>
  <c r="AJ11" s="1"/>
  <c r="AK11" s="1"/>
  <c r="AQ11" s="1"/>
  <c r="AR11" s="1"/>
  <c r="AH11"/>
  <c r="J39"/>
  <c r="K39"/>
  <c r="O39" s="1"/>
  <c r="AH21"/>
  <c r="AI21"/>
  <c r="AJ21" s="1"/>
  <c r="AK21" s="1"/>
  <c r="AQ21" s="1"/>
  <c r="AR21" s="1"/>
  <c r="AS10"/>
  <c r="AT10"/>
  <c r="C13"/>
  <c r="E13" s="1"/>
  <c r="B14"/>
  <c r="C14" s="1"/>
  <c r="E14" s="1"/>
  <c r="K22"/>
  <c r="O22" s="1"/>
  <c r="J22"/>
  <c r="AU27"/>
  <c r="K13" l="1"/>
  <c r="O13" s="1"/>
  <c r="J13"/>
  <c r="AS11"/>
  <c r="AT11"/>
  <c r="AT38"/>
  <c r="AS38"/>
  <c r="AU38" s="1"/>
  <c r="K14"/>
  <c r="O14" s="1"/>
  <c r="J14"/>
  <c r="AT21"/>
  <c r="AS21"/>
  <c r="AH12"/>
  <c r="AI12"/>
  <c r="AJ12" s="1"/>
  <c r="AK12" s="1"/>
  <c r="AQ12" s="1"/>
  <c r="AR12" s="1"/>
  <c r="AH22"/>
  <c r="AI22"/>
  <c r="AJ22" s="1"/>
  <c r="AK22" s="1"/>
  <c r="AQ22" s="1"/>
  <c r="AR22" s="1"/>
  <c r="AU10"/>
  <c r="AU28"/>
  <c r="J41"/>
  <c r="K41"/>
  <c r="O41" s="1"/>
  <c r="AH23"/>
  <c r="AI23"/>
  <c r="AJ23" s="1"/>
  <c r="AK23" s="1"/>
  <c r="AQ23" s="1"/>
  <c r="AR23" s="1"/>
  <c r="AS31"/>
  <c r="AT31"/>
  <c r="AS32"/>
  <c r="AT32"/>
  <c r="AI39"/>
  <c r="AJ39" s="1"/>
  <c r="AK39" s="1"/>
  <c r="AQ39" s="1"/>
  <c r="AR39" s="1"/>
  <c r="AH39"/>
  <c r="J40"/>
  <c r="K40"/>
  <c r="O40" s="1"/>
  <c r="AU20"/>
  <c r="AU19"/>
  <c r="AU37"/>
  <c r="AS39" l="1"/>
  <c r="AU39" s="1"/>
  <c r="AT39"/>
  <c r="AI41"/>
  <c r="AJ41" s="1"/>
  <c r="AK41" s="1"/>
  <c r="AQ41" s="1"/>
  <c r="AR41" s="1"/>
  <c r="AH41"/>
  <c r="AH14"/>
  <c r="AI14"/>
  <c r="AJ14" s="1"/>
  <c r="AK14" s="1"/>
  <c r="AQ14" s="1"/>
  <c r="AR14" s="1"/>
  <c r="AU11"/>
  <c r="AU29"/>
  <c r="AU21"/>
  <c r="AI13"/>
  <c r="AJ13" s="1"/>
  <c r="AK13" s="1"/>
  <c r="AQ13" s="1"/>
  <c r="AR13" s="1"/>
  <c r="AH13"/>
  <c r="AT22"/>
  <c r="AS22"/>
  <c r="AI40"/>
  <c r="AJ40" s="1"/>
  <c r="AK40" s="1"/>
  <c r="AQ40" s="1"/>
  <c r="AR40" s="1"/>
  <c r="AH40"/>
  <c r="AT23"/>
  <c r="AS23"/>
  <c r="AS12"/>
  <c r="AT12"/>
  <c r="AS14" l="1"/>
  <c r="AU23" s="1"/>
  <c r="AT14"/>
  <c r="AU12"/>
  <c r="AU30"/>
  <c r="AS40"/>
  <c r="AU40" s="1"/>
  <c r="AT40"/>
  <c r="AS13"/>
  <c r="AT13"/>
  <c r="AS41"/>
  <c r="AU41" s="1"/>
  <c r="AT41"/>
  <c r="AU22"/>
  <c r="AU13" l="1"/>
  <c r="AU31"/>
  <c r="AU14"/>
  <c r="AU32"/>
</calcChain>
</file>

<file path=xl/sharedStrings.xml><?xml version="1.0" encoding="utf-8"?>
<sst xmlns="http://schemas.openxmlformats.org/spreadsheetml/2006/main" count="83" uniqueCount="60">
  <si>
    <t>Kons</t>
  </si>
  <si>
    <t>FLUIDA PANAS (NANOFLUID)</t>
  </si>
  <si>
    <t xml:space="preserve">                                        FLUIDA DINGIN </t>
  </si>
  <si>
    <t>Debit</t>
  </si>
  <si>
    <t>A</t>
  </si>
  <si>
    <r>
      <t>U</t>
    </r>
    <r>
      <rPr>
        <vertAlign val="subscript"/>
        <sz val="11"/>
        <color theme="1"/>
        <rFont val="Calibri"/>
        <family val="2"/>
        <scheme val="minor"/>
      </rPr>
      <t>nf</t>
    </r>
  </si>
  <si>
    <t>ρ</t>
  </si>
  <si>
    <t>µ</t>
  </si>
  <si>
    <t>Cp</t>
  </si>
  <si>
    <r>
      <t>k</t>
    </r>
    <r>
      <rPr>
        <vertAlign val="subscript"/>
        <sz val="11"/>
        <color theme="1"/>
        <rFont val="Calibri"/>
        <family val="2"/>
        <scheme val="minor"/>
      </rPr>
      <t>nf</t>
    </r>
  </si>
  <si>
    <t>Re</t>
  </si>
  <si>
    <t>ṁ</t>
  </si>
  <si>
    <r>
      <t>T</t>
    </r>
    <r>
      <rPr>
        <vertAlign val="subscript"/>
        <sz val="11"/>
        <color theme="1"/>
        <rFont val="Calibri"/>
        <family val="2"/>
        <scheme val="minor"/>
      </rPr>
      <t>i</t>
    </r>
  </si>
  <si>
    <r>
      <t>T</t>
    </r>
    <r>
      <rPr>
        <vertAlign val="subscript"/>
        <sz val="11"/>
        <color theme="1"/>
        <rFont val="Calibri"/>
        <family val="2"/>
        <scheme val="minor"/>
      </rPr>
      <t>e</t>
    </r>
  </si>
  <si>
    <r>
      <rPr>
        <sz val="11"/>
        <color theme="1"/>
        <rFont val="Calibri"/>
        <family val="2"/>
      </rPr>
      <t>ΔT</t>
    </r>
    <r>
      <rPr>
        <vertAlign val="subscript"/>
        <sz val="11"/>
        <color theme="1"/>
        <rFont val="Calibri"/>
        <family val="2"/>
      </rPr>
      <t>nf</t>
    </r>
  </si>
  <si>
    <t>Q</t>
  </si>
  <si>
    <t>Ti</t>
  </si>
  <si>
    <t>To</t>
  </si>
  <si>
    <r>
      <t>ΔT</t>
    </r>
    <r>
      <rPr>
        <vertAlign val="subscript"/>
        <sz val="11"/>
        <color theme="1"/>
        <rFont val="Calibri"/>
        <family val="2"/>
      </rPr>
      <t>Cold</t>
    </r>
  </si>
  <si>
    <t>ΔTLMTD</t>
  </si>
  <si>
    <r>
      <t>D</t>
    </r>
    <r>
      <rPr>
        <vertAlign val="subscript"/>
        <sz val="11"/>
        <color theme="1"/>
        <rFont val="Calibri"/>
        <family val="2"/>
        <scheme val="minor"/>
      </rPr>
      <t>i</t>
    </r>
  </si>
  <si>
    <r>
      <t>D</t>
    </r>
    <r>
      <rPr>
        <vertAlign val="subscript"/>
        <sz val="11"/>
        <color theme="1"/>
        <rFont val="Calibri"/>
        <family val="2"/>
        <scheme val="minor"/>
      </rPr>
      <t>o</t>
    </r>
  </si>
  <si>
    <t>Dh</t>
  </si>
  <si>
    <r>
      <t>U</t>
    </r>
    <r>
      <rPr>
        <vertAlign val="subscript"/>
        <sz val="11"/>
        <color theme="1"/>
        <rFont val="Calibri"/>
        <family val="2"/>
        <scheme val="minor"/>
      </rPr>
      <t>f</t>
    </r>
  </si>
  <si>
    <r>
      <t>k</t>
    </r>
    <r>
      <rPr>
        <vertAlign val="subscript"/>
        <sz val="11"/>
        <color theme="1"/>
        <rFont val="Calibri"/>
        <family val="2"/>
        <scheme val="minor"/>
      </rPr>
      <t>f</t>
    </r>
  </si>
  <si>
    <r>
      <t>Q</t>
    </r>
    <r>
      <rPr>
        <vertAlign val="subscript"/>
        <sz val="11"/>
        <color theme="1"/>
        <rFont val="Calibri"/>
        <family val="2"/>
        <scheme val="minor"/>
      </rPr>
      <t>C</t>
    </r>
  </si>
  <si>
    <t>Energi</t>
  </si>
  <si>
    <t>UA</t>
  </si>
  <si>
    <r>
      <t>U</t>
    </r>
    <r>
      <rPr>
        <vertAlign val="subscript"/>
        <sz val="11"/>
        <color theme="1"/>
        <rFont val="Calibri"/>
        <family val="2"/>
        <scheme val="minor"/>
      </rPr>
      <t>o</t>
    </r>
  </si>
  <si>
    <r>
      <t>1/U</t>
    </r>
    <r>
      <rPr>
        <vertAlign val="subscript"/>
        <sz val="11"/>
        <color theme="1"/>
        <rFont val="Calibri"/>
        <family val="2"/>
        <scheme val="minor"/>
      </rPr>
      <t>o</t>
    </r>
  </si>
  <si>
    <r>
      <t>Nu</t>
    </r>
    <r>
      <rPr>
        <vertAlign val="subscript"/>
        <sz val="9"/>
        <color theme="1"/>
        <rFont val="Calibri"/>
        <family val="2"/>
        <scheme val="minor"/>
      </rPr>
      <t>o</t>
    </r>
    <r>
      <rPr>
        <sz val="9"/>
        <color theme="1"/>
        <rFont val="Calibri"/>
        <family val="2"/>
        <scheme val="minor"/>
      </rPr>
      <t>=0.023Re</t>
    </r>
    <r>
      <rPr>
        <vertAlign val="superscript"/>
        <sz val="9"/>
        <color theme="1"/>
        <rFont val="Calibri"/>
        <family val="2"/>
        <scheme val="minor"/>
      </rPr>
      <t>0,8</t>
    </r>
    <r>
      <rPr>
        <sz val="9"/>
        <color theme="1"/>
        <rFont val="Calibri"/>
        <family val="2"/>
        <scheme val="minor"/>
      </rPr>
      <t>Pr</t>
    </r>
    <r>
      <rPr>
        <vertAlign val="superscript"/>
        <sz val="9"/>
        <color theme="1"/>
        <rFont val="Calibri"/>
        <family val="2"/>
        <scheme val="minor"/>
      </rPr>
      <t>0,3</t>
    </r>
  </si>
  <si>
    <r>
      <t>k</t>
    </r>
    <r>
      <rPr>
        <vertAlign val="subscript"/>
        <sz val="11"/>
        <color theme="1"/>
        <rFont val="Calibri"/>
        <family val="2"/>
        <scheme val="minor"/>
      </rPr>
      <t>pipa</t>
    </r>
  </si>
  <si>
    <t>ho</t>
  </si>
  <si>
    <r>
      <t>R</t>
    </r>
    <r>
      <rPr>
        <vertAlign val="subscript"/>
        <sz val="11"/>
        <color theme="1"/>
        <rFont val="Calibri"/>
        <family val="2"/>
        <scheme val="minor"/>
      </rPr>
      <t>konv</t>
    </r>
  </si>
  <si>
    <r>
      <t>R</t>
    </r>
    <r>
      <rPr>
        <vertAlign val="subscript"/>
        <sz val="11"/>
        <color theme="1"/>
        <rFont val="Calibri"/>
        <family val="2"/>
        <scheme val="minor"/>
      </rPr>
      <t>wall</t>
    </r>
  </si>
  <si>
    <t>1/hi</t>
  </si>
  <si>
    <t>hi</t>
  </si>
  <si>
    <r>
      <t>Nu</t>
    </r>
    <r>
      <rPr>
        <vertAlign val="subscript"/>
        <sz val="11"/>
        <color theme="1"/>
        <rFont val="Calibri"/>
        <family val="2"/>
        <scheme val="minor"/>
      </rPr>
      <t>I</t>
    </r>
  </si>
  <si>
    <t>Rth</t>
  </si>
  <si>
    <t>Ratio</t>
  </si>
  <si>
    <t>%</t>
  </si>
  <si>
    <t>LPM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</si>
  <si>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</si>
  <si>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</si>
  <si>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m/s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</si>
  <si>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</si>
  <si>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kg/m.s</t>
  </si>
  <si>
    <t>J/kg C</t>
  </si>
  <si>
    <t>W/mK</t>
  </si>
  <si>
    <t>kg/s</t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</si>
  <si>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</si>
  <si>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Watt</t>
  </si>
  <si>
    <t>m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</si>
  <si>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</si>
  <si>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balance(%)</t>
  </si>
  <si>
    <r>
      <t>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</t>
    </r>
  </si>
  <si>
    <t>0,15</t>
  </si>
  <si>
    <t>0,25</t>
  </si>
  <si>
    <t>0,5</t>
  </si>
  <si>
    <t>Calculation of heat transfer nanofluid (cooling processes)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</si>
</sst>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0" borderId="18" xfId="0" applyBorder="1" applyAlignment="1">
      <alignment horizontal="center" vertical="center"/>
    </xf>
    <xf numFmtId="4" fontId="0" fillId="0" borderId="12" xfId="0" applyNumberFormat="1" applyBorder="1" applyAlignment="1">
      <alignment horizontal="center"/>
    </xf>
    <xf numFmtId="0" fontId="0" fillId="4" borderId="21" xfId="0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0" fillId="0" borderId="18" xfId="0" applyNumberForma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4488407699037621E-2"/>
          <c:y val="5.1400554097404488E-2"/>
          <c:w val="0.83754636920384951"/>
          <c:h val="0.79822506561679785"/>
        </c:manualLayout>
      </c:layout>
      <c:scatterChart>
        <c:scatterStyle val="lineMarker"/>
        <c:ser>
          <c:idx val="0"/>
          <c:order val="0"/>
          <c:tx>
            <c:v>Air murni</c:v>
          </c:tx>
          <c:spPr>
            <a:ln>
              <a:noFill/>
            </a:ln>
          </c:spPr>
          <c:marker>
            <c:spPr>
              <a:ln w="19050"/>
            </c:spPr>
          </c:marker>
          <c:trendline>
            <c:spPr>
              <a:ln>
                <a:prstDash val="dash"/>
              </a:ln>
            </c:spPr>
            <c:trendlineType val="linear"/>
          </c:trendline>
          <c:xVal>
            <c:numRef>
              <c:f>'[1]KONVEKSI PENDINGINAN'!$J$6:$J$13</c:f>
              <c:numCache>
                <c:formatCode>General</c:formatCode>
                <c:ptCount val="8"/>
                <c:pt idx="0">
                  <c:v>542.71209867206221</c:v>
                </c:pt>
                <c:pt idx="1">
                  <c:v>814.0681480080932</c:v>
                </c:pt>
                <c:pt idx="2">
                  <c:v>1085.4241973441244</c:v>
                </c:pt>
                <c:pt idx="3">
                  <c:v>1356.7802466801556</c:v>
                </c:pt>
                <c:pt idx="4">
                  <c:v>1628.1362960161864</c:v>
                </c:pt>
                <c:pt idx="5">
                  <c:v>1899.4923453522176</c:v>
                </c:pt>
                <c:pt idx="6">
                  <c:v>2170.8483946882484</c:v>
                </c:pt>
                <c:pt idx="7">
                  <c:v>2442.2044440242794</c:v>
                </c:pt>
              </c:numCache>
            </c:numRef>
          </c:xVal>
          <c:yVal>
            <c:numRef>
              <c:f>'[1]KONVEKSI PENDINGINAN'!$AS$6:$AS$13</c:f>
              <c:numCache>
                <c:formatCode>General</c:formatCode>
                <c:ptCount val="8"/>
                <c:pt idx="0">
                  <c:v>2.5330778551276376</c:v>
                </c:pt>
                <c:pt idx="1">
                  <c:v>3.3900674767864323</c:v>
                </c:pt>
                <c:pt idx="2">
                  <c:v>4.4385165692050172</c:v>
                </c:pt>
                <c:pt idx="3">
                  <c:v>4.6592694179890124</c:v>
                </c:pt>
                <c:pt idx="4">
                  <c:v>5.8549735071163491</c:v>
                </c:pt>
                <c:pt idx="5">
                  <c:v>7.5254704478111538</c:v>
                </c:pt>
                <c:pt idx="6">
                  <c:v>7.9774445235664695</c:v>
                </c:pt>
                <c:pt idx="7">
                  <c:v>9.1450652599151283</c:v>
                </c:pt>
              </c:numCache>
            </c:numRef>
          </c:yVal>
        </c:ser>
        <c:ser>
          <c:idx val="1"/>
          <c:order val="1"/>
          <c:tx>
            <c:v>0,15%</c:v>
          </c:tx>
          <c:spPr>
            <a:ln>
              <a:noFill/>
            </a:ln>
          </c:spPr>
          <c:marker>
            <c:spPr>
              <a:solidFill>
                <a:srgbClr val="C00000"/>
              </a:solidFill>
              <a:ln w="15875"/>
            </c:spPr>
          </c:marker>
          <c:xVal>
            <c:numRef>
              <c:f>'[1]KONVEKSI PENDINGINAN'!$J$15:$J$22</c:f>
              <c:numCache>
                <c:formatCode>0.00;[Red]0.00</c:formatCode>
                <c:ptCount val="8"/>
                <c:pt idx="0" formatCode="#,##0.00">
                  <c:v>526.40764976654725</c:v>
                </c:pt>
                <c:pt idx="1">
                  <c:v>789.61147464982093</c:v>
                </c:pt>
                <c:pt idx="2">
                  <c:v>1052.8152995330945</c:v>
                </c:pt>
                <c:pt idx="3">
                  <c:v>1316.0191244163684</c:v>
                </c:pt>
                <c:pt idx="4">
                  <c:v>1579.2229492996419</c:v>
                </c:pt>
                <c:pt idx="5">
                  <c:v>1842.4267741829156</c:v>
                </c:pt>
                <c:pt idx="6">
                  <c:v>2105.630599066189</c:v>
                </c:pt>
                <c:pt idx="7">
                  <c:v>2368.8344239494627</c:v>
                </c:pt>
              </c:numCache>
            </c:numRef>
          </c:xVal>
          <c:yVal>
            <c:numRef>
              <c:f>'[1]KONVEKSI PENDINGINAN'!$AS$15:$AS$22</c:f>
              <c:numCache>
                <c:formatCode>General</c:formatCode>
                <c:ptCount val="8"/>
                <c:pt idx="0">
                  <c:v>3.7419937551396067</c:v>
                </c:pt>
                <c:pt idx="1">
                  <c:v>4.2899944239292322</c:v>
                </c:pt>
                <c:pt idx="2">
                  <c:v>5.4795514113909825</c:v>
                </c:pt>
                <c:pt idx="3">
                  <c:v>6.9446164392609271</c:v>
                </c:pt>
                <c:pt idx="4">
                  <c:v>7.3843673700021935</c:v>
                </c:pt>
                <c:pt idx="5">
                  <c:v>9.0885037251733571</c:v>
                </c:pt>
                <c:pt idx="6">
                  <c:v>10.426011333911585</c:v>
                </c:pt>
                <c:pt idx="7">
                  <c:v>11.951547011757528</c:v>
                </c:pt>
              </c:numCache>
            </c:numRef>
          </c:yVal>
        </c:ser>
        <c:ser>
          <c:idx val="2"/>
          <c:order val="2"/>
          <c:tx>
            <c:v>0,25%</c:v>
          </c:tx>
          <c:spPr>
            <a:ln>
              <a:noFill/>
            </a:ln>
          </c:spPr>
          <c:marker>
            <c:symbol val="triangle"/>
            <c:size val="8"/>
            <c:spPr>
              <a:solidFill>
                <a:schemeClr val="accent3">
                  <a:lumMod val="75000"/>
                </a:schemeClr>
              </a:solidFill>
              <a:ln w="25400"/>
            </c:spPr>
          </c:marker>
          <c:xVal>
            <c:numRef>
              <c:f>'[1]KONVEKSI PENDINGINAN'!$J$24:$J$31</c:f>
              <c:numCache>
                <c:formatCode>General</c:formatCode>
                <c:ptCount val="8"/>
                <c:pt idx="0">
                  <c:v>505.76344815126464</c:v>
                </c:pt>
                <c:pt idx="1">
                  <c:v>758.64517222689699</c:v>
                </c:pt>
                <c:pt idx="2">
                  <c:v>1011.5268963025293</c:v>
                </c:pt>
                <c:pt idx="3">
                  <c:v>1264.4086203781617</c:v>
                </c:pt>
                <c:pt idx="4">
                  <c:v>1517.290344453794</c:v>
                </c:pt>
                <c:pt idx="5">
                  <c:v>1770.1720685294265</c:v>
                </c:pt>
                <c:pt idx="6">
                  <c:v>2023.0537926050583</c:v>
                </c:pt>
                <c:pt idx="7">
                  <c:v>2275.9355166806909</c:v>
                </c:pt>
              </c:numCache>
            </c:numRef>
          </c:xVal>
          <c:yVal>
            <c:numRef>
              <c:f>'[1]KONVEKSI PENDINGINAN'!$AS$24:$AS$31</c:f>
              <c:numCache>
                <c:formatCode>General</c:formatCode>
                <c:ptCount val="8"/>
                <c:pt idx="0">
                  <c:v>3.3985570109546086</c:v>
                </c:pt>
                <c:pt idx="1">
                  <c:v>4.087130770378387</c:v>
                </c:pt>
                <c:pt idx="2">
                  <c:v>5.2410153025994397</c:v>
                </c:pt>
                <c:pt idx="3">
                  <c:v>6.6929826595087656</c:v>
                </c:pt>
                <c:pt idx="4">
                  <c:v>7.0788356565154498</c:v>
                </c:pt>
                <c:pt idx="5">
                  <c:v>8.4462007868038427</c:v>
                </c:pt>
                <c:pt idx="6">
                  <c:v>9.8974910461547285</c:v>
                </c:pt>
                <c:pt idx="7">
                  <c:v>11.488066304987807</c:v>
                </c:pt>
              </c:numCache>
            </c:numRef>
          </c:yVal>
        </c:ser>
        <c:ser>
          <c:idx val="3"/>
          <c:order val="3"/>
          <c:tx>
            <c:v>0,5%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 w="22225">
                <a:solidFill>
                  <a:schemeClr val="tx1"/>
                </a:solidFill>
              </a:ln>
            </c:spPr>
          </c:marker>
          <c:xVal>
            <c:numRef>
              <c:f>'[1]KONVEKSI PENDINGINAN'!$J$33:$J$41</c:f>
              <c:numCache>
                <c:formatCode>General</c:formatCode>
                <c:ptCount val="9"/>
                <c:pt idx="0">
                  <c:v>491.26342045693571</c:v>
                </c:pt>
                <c:pt idx="1">
                  <c:v>736.8951306854035</c:v>
                </c:pt>
                <c:pt idx="2">
                  <c:v>982.52684091387141</c:v>
                </c:pt>
                <c:pt idx="3">
                  <c:v>1228.1585511423393</c:v>
                </c:pt>
                <c:pt idx="4">
                  <c:v>1473.790261370807</c:v>
                </c:pt>
                <c:pt idx="5">
                  <c:v>1719.4219715992751</c:v>
                </c:pt>
                <c:pt idx="6">
                  <c:v>1965.0536818277426</c:v>
                </c:pt>
                <c:pt idx="7">
                  <c:v>2210.6853920562103</c:v>
                </c:pt>
                <c:pt idx="8">
                  <c:v>2456.3171022846782</c:v>
                </c:pt>
              </c:numCache>
            </c:numRef>
          </c:xVal>
          <c:yVal>
            <c:numRef>
              <c:f>'[1]KONVEKSI PENDINGINAN'!$AS$33:$AS$41</c:f>
              <c:numCache>
                <c:formatCode>General</c:formatCode>
                <c:ptCount val="9"/>
                <c:pt idx="0">
                  <c:v>3.1549574988640949</c:v>
                </c:pt>
                <c:pt idx="1">
                  <c:v>3.9086567042010314</c:v>
                </c:pt>
                <c:pt idx="2">
                  <c:v>4.6909326193480272</c:v>
                </c:pt>
                <c:pt idx="3">
                  <c:v>5.7886759990591932</c:v>
                </c:pt>
                <c:pt idx="4">
                  <c:v>6.9911245689644925</c:v>
                </c:pt>
                <c:pt idx="5">
                  <c:v>8.1356048661566565</c:v>
                </c:pt>
                <c:pt idx="6">
                  <c:v>8.2096783967472167</c:v>
                </c:pt>
                <c:pt idx="7">
                  <c:v>9.1993506759975663</c:v>
                </c:pt>
                <c:pt idx="8">
                  <c:v>10.817991440043469</c:v>
                </c:pt>
              </c:numCache>
            </c:numRef>
          </c:yVal>
        </c:ser>
        <c:axId val="83505920"/>
        <c:axId val="83507840"/>
      </c:scatterChart>
      <c:valAx>
        <c:axId val="83505920"/>
        <c:scaling>
          <c:orientation val="minMax"/>
        </c:scaling>
        <c:axPos val="b"/>
        <c:numFmt formatCode="General" sourceLinked="1"/>
        <c:tickLblPos val="nextTo"/>
        <c:crossAx val="83507840"/>
        <c:crosses val="autoZero"/>
        <c:crossBetween val="midCat"/>
      </c:valAx>
      <c:valAx>
        <c:axId val="83507840"/>
        <c:scaling>
          <c:orientation val="minMax"/>
        </c:scaling>
        <c:axPos val="l"/>
        <c:numFmt formatCode="General" sourceLinked="1"/>
        <c:tickLblPos val="nextTo"/>
        <c:crossAx val="83505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574999999999998"/>
          <c:y val="4.0706838728492303E-2"/>
          <c:w val="0.30258333333333332"/>
          <c:h val="0.41858595800525006"/>
        </c:manualLayout>
      </c:layout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276225</xdr:colOff>
      <xdr:row>42</xdr:row>
      <xdr:rowOff>180975</xdr:rowOff>
    </xdr:from>
    <xdr:to>
      <xdr:col>39</xdr:col>
      <xdr:colOff>28575</xdr:colOff>
      <xdr:row>57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ERTASI/SIDANG%20TERTUTUP/LAMPIRAN%20HASIL%20PENELITIAN-re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 PENDINGINAN"/>
      <sheetName val="DATA PEMANASAN"/>
      <sheetName val="KONVEKSI PEMANASAN"/>
      <sheetName val="KONVEKSI PENDINGINAN"/>
      <sheetName val="DENSITAS"/>
      <sheetName val="VISKOSITAS"/>
      <sheetName val="rugi tekanan pendinginan"/>
      <sheetName val="RUGI TEKANAN PEMANASAN"/>
      <sheetName val="presure drop pemanasan"/>
      <sheetName val="presura panasdan dingin"/>
      <sheetName val="PRESSURE DROP PENDINGINAN"/>
      <sheetName val="DATA HASIL PERCOBAAN"/>
    </sheetNames>
    <sheetDataSet>
      <sheetData sheetId="0"/>
      <sheetData sheetId="1"/>
      <sheetData sheetId="2"/>
      <sheetData sheetId="3">
        <row r="6">
          <cell r="J6">
            <v>542.71209867206221</v>
          </cell>
          <cell r="AS6">
            <v>2.5330778551276376</v>
          </cell>
        </row>
        <row r="7">
          <cell r="J7">
            <v>814.0681480080932</v>
          </cell>
          <cell r="AS7">
            <v>3.3900674767864323</v>
          </cell>
        </row>
        <row r="8">
          <cell r="J8">
            <v>1085.4241973441244</v>
          </cell>
          <cell r="AS8">
            <v>4.4385165692050172</v>
          </cell>
        </row>
        <row r="9">
          <cell r="J9">
            <v>1356.7802466801556</v>
          </cell>
          <cell r="AS9">
            <v>4.6592694179890124</v>
          </cell>
        </row>
        <row r="10">
          <cell r="J10">
            <v>1628.1362960161864</v>
          </cell>
          <cell r="AS10">
            <v>5.8549735071163491</v>
          </cell>
        </row>
        <row r="11">
          <cell r="J11">
            <v>1899.4923453522176</v>
          </cell>
          <cell r="AS11">
            <v>7.5254704478111538</v>
          </cell>
        </row>
        <row r="12">
          <cell r="J12">
            <v>2170.8483946882484</v>
          </cell>
          <cell r="AS12">
            <v>7.9774445235664695</v>
          </cell>
        </row>
        <row r="13">
          <cell r="J13">
            <v>2442.2044440242794</v>
          </cell>
          <cell r="AS13">
            <v>9.1450652599151283</v>
          </cell>
        </row>
        <row r="15">
          <cell r="J15">
            <v>526.40764976654725</v>
          </cell>
          <cell r="AS15">
            <v>3.7419937551396067</v>
          </cell>
        </row>
        <row r="16">
          <cell r="J16">
            <v>789.61147464982093</v>
          </cell>
          <cell r="AS16">
            <v>4.2899944239292322</v>
          </cell>
        </row>
        <row r="17">
          <cell r="J17">
            <v>1052.8152995330945</v>
          </cell>
          <cell r="AS17">
            <v>5.4795514113909825</v>
          </cell>
        </row>
        <row r="18">
          <cell r="J18">
            <v>1316.0191244163684</v>
          </cell>
          <cell r="AS18">
            <v>6.9446164392609271</v>
          </cell>
        </row>
        <row r="19">
          <cell r="J19">
            <v>1579.2229492996419</v>
          </cell>
          <cell r="AS19">
            <v>7.3843673700021935</v>
          </cell>
        </row>
        <row r="20">
          <cell r="J20">
            <v>1842.4267741829156</v>
          </cell>
          <cell r="AS20">
            <v>9.0885037251733571</v>
          </cell>
        </row>
        <row r="21">
          <cell r="J21">
            <v>2105.630599066189</v>
          </cell>
          <cell r="AS21">
            <v>10.426011333911585</v>
          </cell>
        </row>
        <row r="22">
          <cell r="J22">
            <v>2368.8344239494627</v>
          </cell>
          <cell r="AS22">
            <v>11.951547011757528</v>
          </cell>
        </row>
        <row r="24">
          <cell r="J24">
            <v>505.76344815126464</v>
          </cell>
          <cell r="AS24">
            <v>3.3985570109546086</v>
          </cell>
        </row>
        <row r="25">
          <cell r="J25">
            <v>758.64517222689699</v>
          </cell>
          <cell r="AS25">
            <v>4.087130770378387</v>
          </cell>
        </row>
        <row r="26">
          <cell r="J26">
            <v>1011.5268963025293</v>
          </cell>
          <cell r="AS26">
            <v>5.2410153025994397</v>
          </cell>
        </row>
        <row r="27">
          <cell r="J27">
            <v>1264.4086203781617</v>
          </cell>
          <cell r="AS27">
            <v>6.6929826595087656</v>
          </cell>
        </row>
        <row r="28">
          <cell r="J28">
            <v>1517.290344453794</v>
          </cell>
          <cell r="AS28">
            <v>7.0788356565154498</v>
          </cell>
        </row>
        <row r="29">
          <cell r="J29">
            <v>1770.1720685294265</v>
          </cell>
          <cell r="AS29">
            <v>8.4462007868038427</v>
          </cell>
        </row>
        <row r="30">
          <cell r="J30">
            <v>2023.0537926050583</v>
          </cell>
          <cell r="AS30">
            <v>9.8974910461547285</v>
          </cell>
        </row>
        <row r="31">
          <cell r="J31">
            <v>2275.9355166806909</v>
          </cell>
          <cell r="AS31">
            <v>11.488066304987807</v>
          </cell>
        </row>
        <row r="33">
          <cell r="J33">
            <v>491.26342045693571</v>
          </cell>
          <cell r="AS33">
            <v>3.1549574988640949</v>
          </cell>
        </row>
        <row r="34">
          <cell r="J34">
            <v>736.8951306854035</v>
          </cell>
          <cell r="AS34">
            <v>3.9086567042010314</v>
          </cell>
        </row>
        <row r="35">
          <cell r="J35">
            <v>982.52684091387141</v>
          </cell>
          <cell r="AS35">
            <v>4.6909326193480272</v>
          </cell>
        </row>
        <row r="36">
          <cell r="J36">
            <v>1228.1585511423393</v>
          </cell>
          <cell r="AS36">
            <v>5.7886759990591932</v>
          </cell>
        </row>
        <row r="37">
          <cell r="J37">
            <v>1473.790261370807</v>
          </cell>
          <cell r="AS37">
            <v>6.9911245689644925</v>
          </cell>
        </row>
        <row r="38">
          <cell r="J38">
            <v>1719.4219715992751</v>
          </cell>
          <cell r="AS38">
            <v>8.1356048661566565</v>
          </cell>
        </row>
        <row r="39">
          <cell r="J39">
            <v>1965.0536818277426</v>
          </cell>
          <cell r="AS39">
            <v>8.2096783967472167</v>
          </cell>
        </row>
        <row r="40">
          <cell r="J40">
            <v>2210.6853920562103</v>
          </cell>
          <cell r="AS40">
            <v>9.1993506759975663</v>
          </cell>
        </row>
        <row r="41">
          <cell r="J41">
            <v>2456.3171022846782</v>
          </cell>
          <cell r="AS41">
            <v>10.817991440043469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1"/>
  <sheetViews>
    <sheetView tabSelected="1" topLeftCell="AH22" workbookViewId="0">
      <selection activeCell="A2" sqref="A2:M2"/>
    </sheetView>
  </sheetViews>
  <sheetFormatPr defaultRowHeight="15"/>
  <sheetData>
    <row r="1" spans="1:47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4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47">
      <c r="A3" s="5" t="s">
        <v>0</v>
      </c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 t="s">
        <v>2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10"/>
    </row>
    <row r="4" spans="1:47" ht="18">
      <c r="A4" s="11"/>
      <c r="B4" s="12" t="s">
        <v>3</v>
      </c>
      <c r="C4" s="13"/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5" t="s">
        <v>10</v>
      </c>
      <c r="K4" s="14" t="s">
        <v>11</v>
      </c>
      <c r="L4" s="14" t="s">
        <v>12</v>
      </c>
      <c r="M4" s="14" t="s">
        <v>13</v>
      </c>
      <c r="N4" s="15" t="s">
        <v>14</v>
      </c>
      <c r="O4" s="16" t="s">
        <v>15</v>
      </c>
      <c r="P4" s="17" t="s">
        <v>3</v>
      </c>
      <c r="Q4" s="13"/>
      <c r="R4" s="18" t="s">
        <v>16</v>
      </c>
      <c r="S4" s="18" t="s">
        <v>17</v>
      </c>
      <c r="T4" s="15" t="s">
        <v>18</v>
      </c>
      <c r="U4" s="18" t="s">
        <v>19</v>
      </c>
      <c r="V4" s="18" t="s">
        <v>20</v>
      </c>
      <c r="W4" s="18" t="s">
        <v>21</v>
      </c>
      <c r="X4" s="18" t="s">
        <v>22</v>
      </c>
      <c r="Y4" s="18" t="s">
        <v>4</v>
      </c>
      <c r="Z4" s="18" t="s">
        <v>23</v>
      </c>
      <c r="AA4" s="18" t="s">
        <v>6</v>
      </c>
      <c r="AB4" s="18" t="s">
        <v>7</v>
      </c>
      <c r="AC4" s="18" t="s">
        <v>8</v>
      </c>
      <c r="AD4" s="18" t="s">
        <v>24</v>
      </c>
      <c r="AE4" s="11" t="s">
        <v>10</v>
      </c>
      <c r="AF4" s="14" t="s">
        <v>11</v>
      </c>
      <c r="AG4" s="18" t="s">
        <v>25</v>
      </c>
      <c r="AH4" s="18" t="s">
        <v>26</v>
      </c>
      <c r="AI4" s="11" t="s">
        <v>27</v>
      </c>
      <c r="AJ4" s="11" t="s">
        <v>28</v>
      </c>
      <c r="AK4" s="11" t="s">
        <v>29</v>
      </c>
      <c r="AL4" s="19" t="s">
        <v>30</v>
      </c>
      <c r="AM4" s="18" t="s">
        <v>31</v>
      </c>
      <c r="AN4" s="18" t="s">
        <v>32</v>
      </c>
      <c r="AO4" s="11" t="s">
        <v>33</v>
      </c>
      <c r="AP4" s="11" t="s">
        <v>34</v>
      </c>
      <c r="AQ4" s="11" t="s">
        <v>35</v>
      </c>
      <c r="AR4" s="11" t="s">
        <v>36</v>
      </c>
      <c r="AS4" s="11" t="s">
        <v>37</v>
      </c>
      <c r="AT4" s="5" t="s">
        <v>38</v>
      </c>
      <c r="AU4" s="5" t="s">
        <v>39</v>
      </c>
    </row>
    <row r="5" spans="1:47" ht="18" thickBot="1">
      <c r="A5" s="18" t="s">
        <v>40</v>
      </c>
      <c r="B5" s="20" t="s">
        <v>41</v>
      </c>
      <c r="C5" s="21" t="s">
        <v>42</v>
      </c>
      <c r="D5" s="18" t="s">
        <v>43</v>
      </c>
      <c r="E5" s="18" t="s">
        <v>44</v>
      </c>
      <c r="F5" s="18" t="s">
        <v>45</v>
      </c>
      <c r="G5" s="18" t="s">
        <v>46</v>
      </c>
      <c r="H5" s="18" t="s">
        <v>47</v>
      </c>
      <c r="I5" s="18" t="s">
        <v>48</v>
      </c>
      <c r="J5" s="11"/>
      <c r="K5" s="18" t="s">
        <v>49</v>
      </c>
      <c r="L5" s="18" t="s">
        <v>50</v>
      </c>
      <c r="M5" s="18" t="s">
        <v>50</v>
      </c>
      <c r="N5" s="22"/>
      <c r="O5" s="23" t="s">
        <v>51</v>
      </c>
      <c r="P5" s="24" t="s">
        <v>41</v>
      </c>
      <c r="Q5" s="20" t="s">
        <v>42</v>
      </c>
      <c r="R5" s="18" t="s">
        <v>50</v>
      </c>
      <c r="S5" s="18" t="s">
        <v>50</v>
      </c>
      <c r="T5" s="22"/>
      <c r="U5" s="18" t="s">
        <v>50</v>
      </c>
      <c r="V5" s="18" t="s">
        <v>52</v>
      </c>
      <c r="W5" s="18" t="s">
        <v>52</v>
      </c>
      <c r="X5" s="18" t="s">
        <v>52</v>
      </c>
      <c r="Y5" s="18" t="s">
        <v>53</v>
      </c>
      <c r="Z5" s="18" t="s">
        <v>44</v>
      </c>
      <c r="AA5" s="18" t="s">
        <v>45</v>
      </c>
      <c r="AB5" s="18" t="s">
        <v>46</v>
      </c>
      <c r="AC5" s="18" t="s">
        <v>47</v>
      </c>
      <c r="AD5" s="18" t="s">
        <v>48</v>
      </c>
      <c r="AE5" s="11"/>
      <c r="AF5" s="18" t="s">
        <v>49</v>
      </c>
      <c r="AG5" s="18" t="s">
        <v>51</v>
      </c>
      <c r="AH5" s="18" t="s">
        <v>54</v>
      </c>
      <c r="AI5" s="11"/>
      <c r="AJ5" s="11"/>
      <c r="AK5" s="11"/>
      <c r="AL5" s="19"/>
      <c r="AM5" s="18" t="s">
        <v>48</v>
      </c>
      <c r="AN5" s="18" t="s">
        <v>55</v>
      </c>
      <c r="AO5" s="11"/>
      <c r="AP5" s="11"/>
      <c r="AQ5" s="11"/>
      <c r="AR5" s="11"/>
      <c r="AS5" s="11"/>
      <c r="AT5" s="11"/>
      <c r="AU5" s="11"/>
    </row>
    <row r="6" spans="1:47" ht="15.75" thickBot="1">
      <c r="A6" s="25">
        <v>0</v>
      </c>
      <c r="B6" s="26">
        <v>0.1</v>
      </c>
      <c r="C6" s="26">
        <f>B6/60000</f>
        <v>1.6666666666666667E-6</v>
      </c>
      <c r="D6" s="26">
        <f>(3.14/4)*(4.9/1000)*(4.9/1000)</f>
        <v>1.8847850000000006E-5</v>
      </c>
      <c r="E6" s="26">
        <f>C6/D6</f>
        <v>8.8427415682248434E-2</v>
      </c>
      <c r="F6" s="26">
        <v>992</v>
      </c>
      <c r="G6" s="26">
        <v>7.9199999999999995E-4</v>
      </c>
      <c r="H6" s="26">
        <v>4179</v>
      </c>
      <c r="I6" s="26">
        <v>0.63300000000000001</v>
      </c>
      <c r="J6" s="26">
        <f>F6*0.0049*E6/G6</f>
        <v>542.71209867206221</v>
      </c>
      <c r="K6" s="26">
        <f>F6*D6*E6</f>
        <v>1.6533333333333335E-3</v>
      </c>
      <c r="L6" s="27">
        <v>39.770000000000003</v>
      </c>
      <c r="M6" s="27">
        <v>29.14</v>
      </c>
      <c r="N6" s="27">
        <f>L6-M6</f>
        <v>10.630000000000003</v>
      </c>
      <c r="O6" s="28">
        <f>K6*H6*(L6-M6)</f>
        <v>73.44564640000003</v>
      </c>
      <c r="P6" s="29">
        <v>5.5</v>
      </c>
      <c r="Q6" s="27">
        <f>P6/60000</f>
        <v>9.1666666666666668E-5</v>
      </c>
      <c r="R6" s="27">
        <v>23.35</v>
      </c>
      <c r="S6" s="27">
        <v>23.53</v>
      </c>
      <c r="T6" s="27">
        <f>S6-R6</f>
        <v>0.17999999999999972</v>
      </c>
      <c r="U6" s="27">
        <f t="shared" ref="U6:U41" si="0">-((R6-M6)-(S6-L6))/(LN((R6-M6)/(S6-L6)))</f>
        <v>10.132399500458975</v>
      </c>
      <c r="V6" s="27">
        <f>6.3/1000</f>
        <v>6.3E-3</v>
      </c>
      <c r="W6" s="26">
        <f>38.5/1000</f>
        <v>3.85E-2</v>
      </c>
      <c r="X6" s="26">
        <f>W6-V6</f>
        <v>3.2199999999999999E-2</v>
      </c>
      <c r="Y6" s="26">
        <f>3.14*(W6*W6-V6*V6)/4</f>
        <v>1.1324096E-3</v>
      </c>
      <c r="Z6" s="26">
        <f t="shared" ref="Z6:Z41" si="1">Q6/Y6</f>
        <v>8.0948330592275686E-2</v>
      </c>
      <c r="AA6" s="26">
        <v>996</v>
      </c>
      <c r="AB6" s="26">
        <v>8.4500000000000005E-4</v>
      </c>
      <c r="AC6" s="26">
        <v>4181</v>
      </c>
      <c r="AD6" s="26">
        <v>0.61299999999999999</v>
      </c>
      <c r="AE6" s="26">
        <f t="shared" ref="AE6:AE41" si="2">AA6*Z6*X6/AB6</f>
        <v>3072.3196450780965</v>
      </c>
      <c r="AF6" s="26">
        <f t="shared" ref="AF6:AF41" si="3">AA6*Y6*Z6</f>
        <v>9.1300000000000006E-2</v>
      </c>
      <c r="AG6" s="26">
        <f>AF6*AC6*T6</f>
        <v>68.710553999999888</v>
      </c>
      <c r="AH6" s="26">
        <f>((O6-AG6)/O6)*100</f>
        <v>6.4470702241653077</v>
      </c>
      <c r="AI6" s="26">
        <f t="shared" ref="AI6:AI41" si="4">O6/U6</f>
        <v>7.2485936225346332</v>
      </c>
      <c r="AJ6" s="26">
        <f>AI6/(3.14*0.0063*1.25)</f>
        <v>293.13895956059582</v>
      </c>
      <c r="AK6" s="26">
        <f>1/AJ6</f>
        <v>3.4113513996875816E-3</v>
      </c>
      <c r="AL6" s="26">
        <f>0.023*POWER(AE6,0.8)*POWER(5.8,0.3)</f>
        <v>24.028648938107196</v>
      </c>
      <c r="AM6" s="26">
        <v>54</v>
      </c>
      <c r="AN6" s="26">
        <f>AL6*0.613/0.0063</f>
        <v>2338.0256823904301</v>
      </c>
      <c r="AO6" s="26">
        <f>(1/AN6)*(4.9/6.3)</f>
        <v>3.3266434309762029E-4</v>
      </c>
      <c r="AP6" s="26">
        <f>(0.0049*LN(1.285))/(AM6)</f>
        <v>2.2754031850022165E-5</v>
      </c>
      <c r="AQ6" s="26">
        <f t="shared" ref="AQ6:AQ41" si="5">AK6-AO6-AP6</f>
        <v>3.0559330247399391E-3</v>
      </c>
      <c r="AR6" s="26">
        <f>1/AQ6</f>
        <v>327.23230250934586</v>
      </c>
      <c r="AS6" s="27">
        <f>AR6*0.0049/0.633</f>
        <v>2.5330778551276376</v>
      </c>
      <c r="AT6" s="30">
        <f>1/(AR6*3.14*0.0049*1.25)</f>
        <v>0.15889421680696419</v>
      </c>
      <c r="AU6" s="30">
        <f>AS6/AS6</f>
        <v>1</v>
      </c>
    </row>
    <row r="7" spans="1:47" ht="15.75" thickBot="1">
      <c r="A7" s="31"/>
      <c r="B7" s="32">
        <f>B6+0.05</f>
        <v>0.15000000000000002</v>
      </c>
      <c r="C7" s="32">
        <f t="shared" ref="C7:C14" si="6">B7/60000</f>
        <v>2.5000000000000002E-6</v>
      </c>
      <c r="D7" s="32">
        <f t="shared" ref="D7:D14" si="7">(3.14/4)*(4.9/1000)*(4.9/1000)</f>
        <v>1.8847850000000006E-5</v>
      </c>
      <c r="E7" s="32">
        <f t="shared" ref="E7:E14" si="8">C7/D7</f>
        <v>0.13264112352337265</v>
      </c>
      <c r="F7" s="32">
        <v>992</v>
      </c>
      <c r="G7" s="32">
        <v>7.9199999999999995E-4</v>
      </c>
      <c r="H7" s="32">
        <v>4179</v>
      </c>
      <c r="I7" s="32">
        <v>0.63300000000000001</v>
      </c>
      <c r="J7" s="32">
        <f t="shared" ref="J7:J23" si="9">F7*0.0049*E7/G7</f>
        <v>814.0681480080932</v>
      </c>
      <c r="K7" s="32">
        <f t="shared" ref="K7:K14" si="10">F7*D7*E7</f>
        <v>2.48E-3</v>
      </c>
      <c r="L7" s="33">
        <v>39.97</v>
      </c>
      <c r="M7" s="33">
        <v>30.6</v>
      </c>
      <c r="N7" s="33">
        <f t="shared" ref="N7:N41" si="11">L7-M7</f>
        <v>9.3699999999999974</v>
      </c>
      <c r="O7" s="34">
        <f t="shared" ref="O7:O14" si="12">K7*H7*(L7-M7)</f>
        <v>97.109930399999982</v>
      </c>
      <c r="P7" s="35">
        <v>5.5</v>
      </c>
      <c r="Q7" s="33">
        <f t="shared" ref="Q7:Q14" si="13">P7/60000</f>
        <v>9.1666666666666668E-5</v>
      </c>
      <c r="R7" s="33">
        <v>24.14</v>
      </c>
      <c r="S7" s="33">
        <v>24.38</v>
      </c>
      <c r="T7" s="33">
        <f t="shared" ref="T7:T41" si="14">S7-R7</f>
        <v>0.23999999999999844</v>
      </c>
      <c r="U7" s="33">
        <f t="shared" si="0"/>
        <v>10.363219312795977</v>
      </c>
      <c r="V7" s="33">
        <f t="shared" ref="V7:V14" si="15">6.3/1000</f>
        <v>6.3E-3</v>
      </c>
      <c r="W7" s="32">
        <f t="shared" ref="W7:W14" si="16">38.5/1000</f>
        <v>3.85E-2</v>
      </c>
      <c r="X7" s="32">
        <f t="shared" ref="X7:X14" si="17">W7-V7</f>
        <v>3.2199999999999999E-2</v>
      </c>
      <c r="Y7" s="32">
        <f t="shared" ref="Y7:Y14" si="18">3.14*(W7*W7-V7*V7)/4</f>
        <v>1.1324096E-3</v>
      </c>
      <c r="Z7" s="32">
        <f t="shared" si="1"/>
        <v>8.0948330592275686E-2</v>
      </c>
      <c r="AA7" s="32">
        <v>996</v>
      </c>
      <c r="AB7" s="32">
        <v>8.4500000000000005E-4</v>
      </c>
      <c r="AC7" s="32">
        <v>4181</v>
      </c>
      <c r="AD7" s="32">
        <v>0.61299999999999999</v>
      </c>
      <c r="AE7" s="32">
        <f t="shared" si="2"/>
        <v>3072.3196450780965</v>
      </c>
      <c r="AF7" s="32">
        <f t="shared" si="3"/>
        <v>9.1300000000000006E-2</v>
      </c>
      <c r="AG7" s="32">
        <f t="shared" ref="AG7:AG41" si="19">AF7*AC7*T7</f>
        <v>91.61407199999941</v>
      </c>
      <c r="AH7" s="32">
        <f t="shared" ref="AH7:AH41" si="20">((O7-AG7)/O7)*100</f>
        <v>5.6594195643667895</v>
      </c>
      <c r="AI7" s="32">
        <f t="shared" si="4"/>
        <v>9.3706335327762069</v>
      </c>
      <c r="AJ7" s="32">
        <f t="shared" ref="AJ7:AJ41" si="21">AI7/(3.14*0.0063*1.25)</f>
        <v>378.95596128909949</v>
      </c>
      <c r="AK7" s="32">
        <f t="shared" ref="AK7:AK14" si="22">1/AJ7</f>
        <v>2.6388290517934771E-3</v>
      </c>
      <c r="AL7" s="32">
        <f t="shared" ref="AL7:AL14" si="23">0.023*POWER(AE7,0.8)*POWER(5.8,0.3)</f>
        <v>24.028648938107196</v>
      </c>
      <c r="AM7" s="32">
        <v>54</v>
      </c>
      <c r="AN7" s="32">
        <f t="shared" ref="AN7:AN41" si="24">AL7*0.613/0.0063</f>
        <v>2338.0256823904301</v>
      </c>
      <c r="AO7" s="32">
        <f t="shared" ref="AO7:AO41" si="25">(1/AN7)*(4.9/6.3)</f>
        <v>3.3266434309762029E-4</v>
      </c>
      <c r="AP7" s="26">
        <f t="shared" ref="AP7:AP41" si="26">(0.0049*LN(1.285))/(AM7)</f>
        <v>2.2754031850022165E-5</v>
      </c>
      <c r="AQ7" s="32">
        <f t="shared" si="5"/>
        <v>2.2834106768458346E-3</v>
      </c>
      <c r="AR7" s="32">
        <f t="shared" ref="AR7:AR14" si="27">1/AQ7</f>
        <v>437.94136996036974</v>
      </c>
      <c r="AS7" s="33">
        <f t="shared" ref="AS7:AS14" si="28">AR7*0.0049/0.633</f>
        <v>3.3900674767864323</v>
      </c>
      <c r="AT7" s="36">
        <f t="shared" ref="AT7:AT41" si="29">1/(AR7*3.14*0.0049*1.25)</f>
        <v>0.1187266697957018</v>
      </c>
      <c r="AU7" s="36">
        <f t="shared" ref="AU7:AU14" si="30">AS7/AS7</f>
        <v>1</v>
      </c>
    </row>
    <row r="8" spans="1:47" ht="15.75" thickBot="1">
      <c r="A8" s="31"/>
      <c r="B8" s="32">
        <f t="shared" ref="B8:B14" si="31">B7+0.05</f>
        <v>0.2</v>
      </c>
      <c r="C8" s="32">
        <f t="shared" si="6"/>
        <v>3.3333333333333333E-6</v>
      </c>
      <c r="D8" s="32">
        <f t="shared" si="7"/>
        <v>1.8847850000000006E-5</v>
      </c>
      <c r="E8" s="32">
        <f t="shared" si="8"/>
        <v>0.17685483136449687</v>
      </c>
      <c r="F8" s="32">
        <v>992</v>
      </c>
      <c r="G8" s="32">
        <v>7.9199999999999995E-4</v>
      </c>
      <c r="H8" s="32">
        <v>4179</v>
      </c>
      <c r="I8" s="32">
        <v>0.63300000000000001</v>
      </c>
      <c r="J8" s="32">
        <f t="shared" si="9"/>
        <v>1085.4241973441244</v>
      </c>
      <c r="K8" s="32">
        <f t="shared" si="10"/>
        <v>3.306666666666667E-3</v>
      </c>
      <c r="L8" s="33">
        <v>40.25</v>
      </c>
      <c r="M8" s="33">
        <v>30.57</v>
      </c>
      <c r="N8" s="33">
        <f t="shared" si="11"/>
        <v>9.68</v>
      </c>
      <c r="O8" s="34">
        <f t="shared" si="12"/>
        <v>133.7636608</v>
      </c>
      <c r="P8" s="35">
        <v>5.5</v>
      </c>
      <c r="Q8" s="33">
        <f t="shared" si="13"/>
        <v>9.1666666666666668E-5</v>
      </c>
      <c r="R8" s="33">
        <v>23.25</v>
      </c>
      <c r="S8" s="33">
        <v>23.59</v>
      </c>
      <c r="T8" s="33">
        <f t="shared" si="14"/>
        <v>0.33999999999999986</v>
      </c>
      <c r="U8" s="33">
        <f t="shared" si="0"/>
        <v>11.356999627128648</v>
      </c>
      <c r="V8" s="33">
        <f t="shared" si="15"/>
        <v>6.3E-3</v>
      </c>
      <c r="W8" s="32">
        <f t="shared" si="16"/>
        <v>3.85E-2</v>
      </c>
      <c r="X8" s="32">
        <f t="shared" si="17"/>
        <v>3.2199999999999999E-2</v>
      </c>
      <c r="Y8" s="32">
        <f t="shared" si="18"/>
        <v>1.1324096E-3</v>
      </c>
      <c r="Z8" s="32">
        <f t="shared" si="1"/>
        <v>8.0948330592275686E-2</v>
      </c>
      <c r="AA8" s="32">
        <v>996</v>
      </c>
      <c r="AB8" s="32">
        <v>8.4500000000000005E-4</v>
      </c>
      <c r="AC8" s="32">
        <v>4181</v>
      </c>
      <c r="AD8" s="32">
        <v>0.61299999999999999</v>
      </c>
      <c r="AE8" s="32">
        <f t="shared" si="2"/>
        <v>3072.3196450780965</v>
      </c>
      <c r="AF8" s="32">
        <f t="shared" si="3"/>
        <v>9.1300000000000006E-2</v>
      </c>
      <c r="AG8" s="32">
        <f t="shared" si="19"/>
        <v>129.78660199999996</v>
      </c>
      <c r="AH8" s="32">
        <f t="shared" si="20"/>
        <v>2.9731982335220577</v>
      </c>
      <c r="AI8" s="32">
        <f t="shared" si="4"/>
        <v>11.778080936137092</v>
      </c>
      <c r="AJ8" s="32">
        <f t="shared" si="21"/>
        <v>476.31507172731142</v>
      </c>
      <c r="AK8" s="32">
        <f t="shared" si="22"/>
        <v>2.0994506774131561E-3</v>
      </c>
      <c r="AL8" s="32">
        <f t="shared" si="23"/>
        <v>24.028648938107196</v>
      </c>
      <c r="AM8" s="32">
        <v>54</v>
      </c>
      <c r="AN8" s="32">
        <f t="shared" si="24"/>
        <v>2338.0256823904301</v>
      </c>
      <c r="AO8" s="32">
        <f t="shared" si="25"/>
        <v>3.3266434309762029E-4</v>
      </c>
      <c r="AP8" s="26">
        <f t="shared" si="26"/>
        <v>2.2754031850022165E-5</v>
      </c>
      <c r="AQ8" s="32">
        <f t="shared" si="5"/>
        <v>1.7440323024655135E-3</v>
      </c>
      <c r="AR8" s="32">
        <f t="shared" si="27"/>
        <v>573.3838751646482</v>
      </c>
      <c r="AS8" s="33">
        <f t="shared" si="28"/>
        <v>4.4385165692050172</v>
      </c>
      <c r="AT8" s="36">
        <f t="shared" si="29"/>
        <v>9.0681518391551461E-2</v>
      </c>
      <c r="AU8" s="36">
        <f t="shared" si="30"/>
        <v>1</v>
      </c>
    </row>
    <row r="9" spans="1:47" ht="15.75" thickBot="1">
      <c r="A9" s="31"/>
      <c r="B9" s="32">
        <f t="shared" si="31"/>
        <v>0.25</v>
      </c>
      <c r="C9" s="32">
        <f t="shared" si="6"/>
        <v>4.1666666666666669E-6</v>
      </c>
      <c r="D9" s="32">
        <f t="shared" si="7"/>
        <v>1.8847850000000006E-5</v>
      </c>
      <c r="E9" s="32">
        <f t="shared" si="8"/>
        <v>0.22106853920562108</v>
      </c>
      <c r="F9" s="32">
        <v>992</v>
      </c>
      <c r="G9" s="32">
        <v>7.9199999999999995E-4</v>
      </c>
      <c r="H9" s="32">
        <v>4179</v>
      </c>
      <c r="I9" s="32">
        <v>0.63300000000000001</v>
      </c>
      <c r="J9" s="32">
        <f t="shared" si="9"/>
        <v>1356.7802466801556</v>
      </c>
      <c r="K9" s="32">
        <f t="shared" si="10"/>
        <v>4.1333333333333335E-3</v>
      </c>
      <c r="L9" s="33">
        <v>40.79</v>
      </c>
      <c r="M9" s="33">
        <v>31.97</v>
      </c>
      <c r="N9" s="33">
        <f t="shared" si="11"/>
        <v>8.82</v>
      </c>
      <c r="O9" s="34">
        <f t="shared" si="12"/>
        <v>152.34962400000001</v>
      </c>
      <c r="P9" s="35">
        <v>5.5</v>
      </c>
      <c r="Q9" s="33">
        <f t="shared" si="13"/>
        <v>9.1666666666666668E-5</v>
      </c>
      <c r="R9" s="33">
        <v>23.29</v>
      </c>
      <c r="S9" s="33">
        <v>23.669999999999998</v>
      </c>
      <c r="T9" s="33">
        <f t="shared" si="14"/>
        <v>0.37999999999999901</v>
      </c>
      <c r="U9" s="33">
        <f t="shared" si="0"/>
        <v>12.425911203016842</v>
      </c>
      <c r="V9" s="33">
        <f t="shared" si="15"/>
        <v>6.3E-3</v>
      </c>
      <c r="W9" s="32">
        <f t="shared" si="16"/>
        <v>3.85E-2</v>
      </c>
      <c r="X9" s="32">
        <f t="shared" si="17"/>
        <v>3.2199999999999999E-2</v>
      </c>
      <c r="Y9" s="32">
        <f t="shared" si="18"/>
        <v>1.1324096E-3</v>
      </c>
      <c r="Z9" s="32">
        <f t="shared" si="1"/>
        <v>8.0948330592275686E-2</v>
      </c>
      <c r="AA9" s="32">
        <v>996</v>
      </c>
      <c r="AB9" s="32">
        <v>8.4500000000000005E-4</v>
      </c>
      <c r="AC9" s="32">
        <v>4181</v>
      </c>
      <c r="AD9" s="32">
        <v>0.61299999999999999</v>
      </c>
      <c r="AE9" s="32">
        <f t="shared" si="2"/>
        <v>3072.3196450780965</v>
      </c>
      <c r="AF9" s="32">
        <f t="shared" si="3"/>
        <v>9.1300000000000006E-2</v>
      </c>
      <c r="AG9" s="32">
        <f t="shared" si="19"/>
        <v>145.05561399999962</v>
      </c>
      <c r="AH9" s="32">
        <f t="shared" si="20"/>
        <v>4.7876783732662078</v>
      </c>
      <c r="AI9" s="32">
        <f t="shared" si="4"/>
        <v>12.260640005459848</v>
      </c>
      <c r="AJ9" s="32">
        <f t="shared" si="21"/>
        <v>495.83014884075823</v>
      </c>
      <c r="AK9" s="32">
        <f t="shared" si="22"/>
        <v>2.0168196757256122E-3</v>
      </c>
      <c r="AL9" s="32">
        <f t="shared" si="23"/>
        <v>24.028648938107196</v>
      </c>
      <c r="AM9" s="32">
        <v>54</v>
      </c>
      <c r="AN9" s="32">
        <f t="shared" si="24"/>
        <v>2338.0256823904301</v>
      </c>
      <c r="AO9" s="32">
        <f t="shared" si="25"/>
        <v>3.3266434309762029E-4</v>
      </c>
      <c r="AP9" s="26">
        <f t="shared" si="26"/>
        <v>2.2754031850022165E-5</v>
      </c>
      <c r="AQ9" s="32">
        <f t="shared" si="5"/>
        <v>1.6614013007779697E-3</v>
      </c>
      <c r="AR9" s="32">
        <f t="shared" si="27"/>
        <v>601.90153909939693</v>
      </c>
      <c r="AS9" s="33">
        <f t="shared" si="28"/>
        <v>4.6592694179890124</v>
      </c>
      <c r="AT9" s="36">
        <f t="shared" si="29"/>
        <v>8.6385092982086034E-2</v>
      </c>
      <c r="AU9" s="36">
        <f t="shared" si="30"/>
        <v>1</v>
      </c>
    </row>
    <row r="10" spans="1:47" ht="15.75" thickBot="1">
      <c r="A10" s="31"/>
      <c r="B10" s="32">
        <f t="shared" si="31"/>
        <v>0.3</v>
      </c>
      <c r="C10" s="32">
        <f t="shared" si="6"/>
        <v>4.9999999999999996E-6</v>
      </c>
      <c r="D10" s="32">
        <f t="shared" si="7"/>
        <v>1.8847850000000006E-5</v>
      </c>
      <c r="E10" s="32">
        <f t="shared" si="8"/>
        <v>0.2652822470467453</v>
      </c>
      <c r="F10" s="32">
        <v>992</v>
      </c>
      <c r="G10" s="32">
        <v>7.9199999999999995E-4</v>
      </c>
      <c r="H10" s="32">
        <v>4179</v>
      </c>
      <c r="I10" s="32">
        <v>0.63300000000000001</v>
      </c>
      <c r="J10" s="32">
        <f t="shared" si="9"/>
        <v>1628.1362960161864</v>
      </c>
      <c r="K10" s="32">
        <f t="shared" si="10"/>
        <v>4.96E-3</v>
      </c>
      <c r="L10" s="33">
        <v>40.61</v>
      </c>
      <c r="M10" s="33">
        <v>32.159999999999997</v>
      </c>
      <c r="N10" s="33">
        <f t="shared" si="11"/>
        <v>8.4500000000000028</v>
      </c>
      <c r="O10" s="34">
        <f t="shared" si="12"/>
        <v>175.15024800000006</v>
      </c>
      <c r="P10" s="35">
        <v>5.5</v>
      </c>
      <c r="Q10" s="33">
        <f t="shared" si="13"/>
        <v>9.1666666666666668E-5</v>
      </c>
      <c r="R10" s="33">
        <v>23.84</v>
      </c>
      <c r="S10" s="33">
        <v>24.27</v>
      </c>
      <c r="T10" s="33">
        <f t="shared" si="14"/>
        <v>0.42999999999999972</v>
      </c>
      <c r="U10" s="33">
        <f t="shared" si="0"/>
        <v>11.882294149447853</v>
      </c>
      <c r="V10" s="33">
        <f t="shared" si="15"/>
        <v>6.3E-3</v>
      </c>
      <c r="W10" s="32">
        <f t="shared" si="16"/>
        <v>3.85E-2</v>
      </c>
      <c r="X10" s="32">
        <f t="shared" si="17"/>
        <v>3.2199999999999999E-2</v>
      </c>
      <c r="Y10" s="32">
        <f t="shared" si="18"/>
        <v>1.1324096E-3</v>
      </c>
      <c r="Z10" s="32">
        <f t="shared" si="1"/>
        <v>8.0948330592275686E-2</v>
      </c>
      <c r="AA10" s="32">
        <v>996</v>
      </c>
      <c r="AB10" s="32">
        <v>8.4500000000000005E-4</v>
      </c>
      <c r="AC10" s="32">
        <v>4181</v>
      </c>
      <c r="AD10" s="32">
        <v>0.61299999999999999</v>
      </c>
      <c r="AE10" s="32">
        <f t="shared" si="2"/>
        <v>3072.3196450780965</v>
      </c>
      <c r="AF10" s="32">
        <f t="shared" si="3"/>
        <v>9.1300000000000006E-2</v>
      </c>
      <c r="AG10" s="32">
        <f t="shared" si="19"/>
        <v>164.1418789999999</v>
      </c>
      <c r="AH10" s="32">
        <f t="shared" si="20"/>
        <v>6.2851004355986717</v>
      </c>
      <c r="AI10" s="32">
        <f t="shared" si="4"/>
        <v>14.740440338967618</v>
      </c>
      <c r="AJ10" s="32">
        <f t="shared" si="21"/>
        <v>596.1152700017235</v>
      </c>
      <c r="AK10" s="32">
        <f t="shared" si="22"/>
        <v>1.6775279049588995E-3</v>
      </c>
      <c r="AL10" s="32">
        <f t="shared" si="23"/>
        <v>24.028648938107196</v>
      </c>
      <c r="AM10" s="32">
        <v>54</v>
      </c>
      <c r="AN10" s="32">
        <f t="shared" si="24"/>
        <v>2338.0256823904301</v>
      </c>
      <c r="AO10" s="32">
        <f t="shared" si="25"/>
        <v>3.3266434309762029E-4</v>
      </c>
      <c r="AP10" s="26">
        <f t="shared" si="26"/>
        <v>2.2754031850022165E-5</v>
      </c>
      <c r="AQ10" s="32">
        <f t="shared" si="5"/>
        <v>1.322109530011257E-3</v>
      </c>
      <c r="AR10" s="32">
        <f t="shared" si="27"/>
        <v>756.36698571523459</v>
      </c>
      <c r="AS10" s="33">
        <f t="shared" si="28"/>
        <v>5.8549735071163491</v>
      </c>
      <c r="AT10" s="36">
        <f t="shared" si="29"/>
        <v>6.8743508644807327E-2</v>
      </c>
      <c r="AU10" s="36">
        <f t="shared" si="30"/>
        <v>1</v>
      </c>
    </row>
    <row r="11" spans="1:47" ht="15.75" thickBot="1">
      <c r="A11" s="31"/>
      <c r="B11" s="32">
        <f t="shared" si="31"/>
        <v>0.35</v>
      </c>
      <c r="C11" s="32">
        <f t="shared" si="6"/>
        <v>5.8333333333333331E-6</v>
      </c>
      <c r="D11" s="32">
        <f t="shared" si="7"/>
        <v>1.8847850000000006E-5</v>
      </c>
      <c r="E11" s="32">
        <f t="shared" si="8"/>
        <v>0.30949595488786952</v>
      </c>
      <c r="F11" s="32">
        <v>992</v>
      </c>
      <c r="G11" s="32">
        <v>7.9199999999999995E-4</v>
      </c>
      <c r="H11" s="32">
        <v>4179</v>
      </c>
      <c r="I11" s="32">
        <v>0.63300000000000001</v>
      </c>
      <c r="J11" s="32">
        <f t="shared" si="9"/>
        <v>1899.4923453522176</v>
      </c>
      <c r="K11" s="32">
        <f t="shared" si="10"/>
        <v>5.7866666666666674E-3</v>
      </c>
      <c r="L11" s="33">
        <v>40.74</v>
      </c>
      <c r="M11" s="33">
        <v>31.93</v>
      </c>
      <c r="N11" s="33">
        <f t="shared" si="11"/>
        <v>8.8100000000000023</v>
      </c>
      <c r="O11" s="34">
        <f t="shared" si="12"/>
        <v>213.04764880000008</v>
      </c>
      <c r="P11" s="35">
        <v>5.5</v>
      </c>
      <c r="Q11" s="33">
        <f t="shared" si="13"/>
        <v>9.1666666666666668E-5</v>
      </c>
      <c r="R11" s="33">
        <v>23.67</v>
      </c>
      <c r="S11" s="33">
        <v>24.2</v>
      </c>
      <c r="T11" s="33">
        <f t="shared" si="14"/>
        <v>0.52999999999999758</v>
      </c>
      <c r="U11" s="33">
        <f t="shared" si="0"/>
        <v>11.924699805623669</v>
      </c>
      <c r="V11" s="33">
        <f t="shared" si="15"/>
        <v>6.3E-3</v>
      </c>
      <c r="W11" s="32">
        <f t="shared" si="16"/>
        <v>3.85E-2</v>
      </c>
      <c r="X11" s="32">
        <f t="shared" si="17"/>
        <v>3.2199999999999999E-2</v>
      </c>
      <c r="Y11" s="32">
        <f t="shared" si="18"/>
        <v>1.1324096E-3</v>
      </c>
      <c r="Z11" s="32">
        <f t="shared" si="1"/>
        <v>8.0948330592275686E-2</v>
      </c>
      <c r="AA11" s="32">
        <v>996</v>
      </c>
      <c r="AB11" s="32">
        <v>8.4500000000000005E-4</v>
      </c>
      <c r="AC11" s="32">
        <v>4181</v>
      </c>
      <c r="AD11" s="32">
        <v>0.61299999999999999</v>
      </c>
      <c r="AE11" s="32">
        <f t="shared" si="2"/>
        <v>3072.3196450780965</v>
      </c>
      <c r="AF11" s="32">
        <f t="shared" si="3"/>
        <v>9.1300000000000006E-2</v>
      </c>
      <c r="AG11" s="32">
        <f t="shared" si="19"/>
        <v>202.31440899999907</v>
      </c>
      <c r="AH11" s="32">
        <f t="shared" si="20"/>
        <v>5.0379527117320615</v>
      </c>
      <c r="AI11" s="32">
        <f t="shared" si="4"/>
        <v>17.866080678989263</v>
      </c>
      <c r="AJ11" s="32">
        <f t="shared" si="21"/>
        <v>722.5186807800734</v>
      </c>
      <c r="AK11" s="32">
        <f t="shared" si="22"/>
        <v>1.3840472594014337E-3</v>
      </c>
      <c r="AL11" s="32">
        <f t="shared" si="23"/>
        <v>24.028648938107196</v>
      </c>
      <c r="AM11" s="32">
        <v>54</v>
      </c>
      <c r="AN11" s="32">
        <f t="shared" si="24"/>
        <v>2338.0256823904301</v>
      </c>
      <c r="AO11" s="32">
        <f t="shared" si="25"/>
        <v>3.3266434309762029E-4</v>
      </c>
      <c r="AP11" s="26">
        <f t="shared" si="26"/>
        <v>2.2754031850022165E-5</v>
      </c>
      <c r="AQ11" s="32">
        <f t="shared" si="5"/>
        <v>1.0286288844537912E-3</v>
      </c>
      <c r="AR11" s="32">
        <f t="shared" si="27"/>
        <v>972.1679170335633</v>
      </c>
      <c r="AS11" s="33">
        <f t="shared" si="28"/>
        <v>7.5254704478111538</v>
      </c>
      <c r="AT11" s="36">
        <f t="shared" si="29"/>
        <v>5.3483888441637394E-2</v>
      </c>
      <c r="AU11" s="36">
        <f t="shared" si="30"/>
        <v>1</v>
      </c>
    </row>
    <row r="12" spans="1:47" ht="15.75" thickBot="1">
      <c r="A12" s="31"/>
      <c r="B12" s="32">
        <f t="shared" si="31"/>
        <v>0.39999999999999997</v>
      </c>
      <c r="C12" s="32">
        <f t="shared" si="6"/>
        <v>6.6666666666666658E-6</v>
      </c>
      <c r="D12" s="32">
        <f t="shared" si="7"/>
        <v>1.8847850000000006E-5</v>
      </c>
      <c r="E12" s="32">
        <f t="shared" si="8"/>
        <v>0.35370966272899368</v>
      </c>
      <c r="F12" s="32">
        <v>992</v>
      </c>
      <c r="G12" s="32">
        <v>7.9199999999999995E-4</v>
      </c>
      <c r="H12" s="32">
        <v>4179</v>
      </c>
      <c r="I12" s="32">
        <v>0.63300000000000001</v>
      </c>
      <c r="J12" s="32">
        <f t="shared" si="9"/>
        <v>2170.8483946882484</v>
      </c>
      <c r="K12" s="32">
        <f t="shared" si="10"/>
        <v>6.613333333333333E-3</v>
      </c>
      <c r="L12" s="33">
        <v>40.380000000000003</v>
      </c>
      <c r="M12" s="33">
        <v>32.4</v>
      </c>
      <c r="N12" s="33">
        <f t="shared" si="11"/>
        <v>7.980000000000004</v>
      </c>
      <c r="O12" s="34">
        <f t="shared" si="12"/>
        <v>220.54421760000011</v>
      </c>
      <c r="P12" s="35">
        <v>5.5</v>
      </c>
      <c r="Q12" s="33">
        <f t="shared" si="13"/>
        <v>9.1666666666666668E-5</v>
      </c>
      <c r="R12" s="33">
        <v>23.9</v>
      </c>
      <c r="S12" s="33">
        <v>24.46</v>
      </c>
      <c r="T12" s="33">
        <f t="shared" si="14"/>
        <v>0.56000000000000227</v>
      </c>
      <c r="U12" s="33">
        <f t="shared" si="0"/>
        <v>11.824512437936685</v>
      </c>
      <c r="V12" s="33">
        <f t="shared" si="15"/>
        <v>6.3E-3</v>
      </c>
      <c r="W12" s="32">
        <f t="shared" si="16"/>
        <v>3.85E-2</v>
      </c>
      <c r="X12" s="32">
        <f t="shared" si="17"/>
        <v>3.2199999999999999E-2</v>
      </c>
      <c r="Y12" s="32">
        <f t="shared" si="18"/>
        <v>1.1324096E-3</v>
      </c>
      <c r="Z12" s="32">
        <f t="shared" si="1"/>
        <v>8.0948330592275686E-2</v>
      </c>
      <c r="AA12" s="32">
        <v>996</v>
      </c>
      <c r="AB12" s="32">
        <v>8.4500000000000005E-4</v>
      </c>
      <c r="AC12" s="32">
        <v>4181</v>
      </c>
      <c r="AD12" s="32">
        <v>0.61299999999999999</v>
      </c>
      <c r="AE12" s="32">
        <f t="shared" si="2"/>
        <v>3072.3196450780965</v>
      </c>
      <c r="AF12" s="32">
        <f t="shared" si="3"/>
        <v>9.1300000000000006E-2</v>
      </c>
      <c r="AG12" s="32">
        <f t="shared" si="19"/>
        <v>213.76616800000087</v>
      </c>
      <c r="AH12" s="32">
        <f t="shared" si="20"/>
        <v>3.0733290918978198</v>
      </c>
      <c r="AI12" s="32">
        <f t="shared" si="4"/>
        <v>18.651442819107384</v>
      </c>
      <c r="AJ12" s="32">
        <f t="shared" si="21"/>
        <v>754.27935776392212</v>
      </c>
      <c r="AK12" s="32">
        <f t="shared" si="22"/>
        <v>1.3257687482851476E-3</v>
      </c>
      <c r="AL12" s="32">
        <f t="shared" si="23"/>
        <v>24.028648938107196</v>
      </c>
      <c r="AM12" s="32">
        <v>54</v>
      </c>
      <c r="AN12" s="32">
        <f t="shared" si="24"/>
        <v>2338.0256823904301</v>
      </c>
      <c r="AO12" s="32">
        <f t="shared" si="25"/>
        <v>3.3266434309762029E-4</v>
      </c>
      <c r="AP12" s="26">
        <f t="shared" si="26"/>
        <v>2.2754031850022165E-5</v>
      </c>
      <c r="AQ12" s="32">
        <f t="shared" si="5"/>
        <v>9.7035037333750515E-4</v>
      </c>
      <c r="AR12" s="32">
        <f t="shared" si="27"/>
        <v>1030.5555884525663</v>
      </c>
      <c r="AS12" s="33">
        <f t="shared" si="28"/>
        <v>7.9774445235664695</v>
      </c>
      <c r="AT12" s="36">
        <f t="shared" si="29"/>
        <v>5.0453678582477839E-2</v>
      </c>
      <c r="AU12" s="36">
        <f t="shared" si="30"/>
        <v>1</v>
      </c>
    </row>
    <row r="13" spans="1:47" ht="15.75" thickBot="1">
      <c r="A13" s="31"/>
      <c r="B13" s="32">
        <f t="shared" si="31"/>
        <v>0.44999999999999996</v>
      </c>
      <c r="C13" s="32">
        <f t="shared" si="6"/>
        <v>7.4999999999999993E-6</v>
      </c>
      <c r="D13" s="32">
        <f t="shared" si="7"/>
        <v>1.8847850000000006E-5</v>
      </c>
      <c r="E13" s="32">
        <f t="shared" si="8"/>
        <v>0.3979233705701179</v>
      </c>
      <c r="F13" s="32">
        <v>992</v>
      </c>
      <c r="G13" s="32">
        <v>7.9199999999999995E-4</v>
      </c>
      <c r="H13" s="32">
        <v>4179</v>
      </c>
      <c r="I13" s="32">
        <v>0.63300000000000001</v>
      </c>
      <c r="J13" s="32">
        <f t="shared" si="9"/>
        <v>2442.2044440242794</v>
      </c>
      <c r="K13" s="32">
        <f t="shared" si="10"/>
        <v>7.4399999999999996E-3</v>
      </c>
      <c r="L13" s="33">
        <v>40.6</v>
      </c>
      <c r="M13" s="33">
        <v>33.1</v>
      </c>
      <c r="N13" s="33">
        <f t="shared" si="11"/>
        <v>7.5</v>
      </c>
      <c r="O13" s="34">
        <f t="shared" si="12"/>
        <v>233.18819999999997</v>
      </c>
      <c r="P13" s="35">
        <v>5.5</v>
      </c>
      <c r="Q13" s="33">
        <f t="shared" si="13"/>
        <v>9.1666666666666668E-5</v>
      </c>
      <c r="R13" s="33">
        <v>24.88</v>
      </c>
      <c r="S13" s="33">
        <v>25.45</v>
      </c>
      <c r="T13" s="33">
        <f t="shared" si="14"/>
        <v>0.57000000000000028</v>
      </c>
      <c r="U13" s="33">
        <f t="shared" si="0"/>
        <v>11.334079682661518</v>
      </c>
      <c r="V13" s="33">
        <f t="shared" si="15"/>
        <v>6.3E-3</v>
      </c>
      <c r="W13" s="32">
        <f t="shared" si="16"/>
        <v>3.85E-2</v>
      </c>
      <c r="X13" s="32">
        <f t="shared" si="17"/>
        <v>3.2199999999999999E-2</v>
      </c>
      <c r="Y13" s="32">
        <f t="shared" si="18"/>
        <v>1.1324096E-3</v>
      </c>
      <c r="Z13" s="32">
        <f t="shared" si="1"/>
        <v>8.0948330592275686E-2</v>
      </c>
      <c r="AA13" s="32">
        <v>996</v>
      </c>
      <c r="AB13" s="32">
        <v>8.4500000000000005E-4</v>
      </c>
      <c r="AC13" s="32">
        <v>4181</v>
      </c>
      <c r="AD13" s="32">
        <v>0.61299999999999999</v>
      </c>
      <c r="AE13" s="32">
        <f t="shared" si="2"/>
        <v>3072.3196450780965</v>
      </c>
      <c r="AF13" s="32">
        <f t="shared" si="3"/>
        <v>9.1300000000000006E-2</v>
      </c>
      <c r="AG13" s="32">
        <f t="shared" si="19"/>
        <v>217.5834210000001</v>
      </c>
      <c r="AH13" s="32">
        <f t="shared" si="20"/>
        <v>6.6919248058005794</v>
      </c>
      <c r="AI13" s="32">
        <f t="shared" si="4"/>
        <v>20.574074519409212</v>
      </c>
      <c r="AJ13" s="32">
        <f t="shared" si="21"/>
        <v>832.03213100431549</v>
      </c>
      <c r="AK13" s="32">
        <f t="shared" si="22"/>
        <v>1.2018766616536029E-3</v>
      </c>
      <c r="AL13" s="32">
        <f t="shared" si="23"/>
        <v>24.028648938107196</v>
      </c>
      <c r="AM13" s="32">
        <v>54</v>
      </c>
      <c r="AN13" s="32">
        <f t="shared" si="24"/>
        <v>2338.0256823904301</v>
      </c>
      <c r="AO13" s="32">
        <f t="shared" si="25"/>
        <v>3.3266434309762029E-4</v>
      </c>
      <c r="AP13" s="26">
        <f t="shared" si="26"/>
        <v>2.2754031850022165E-5</v>
      </c>
      <c r="AQ13" s="32">
        <f t="shared" si="5"/>
        <v>8.4645828670596053E-4</v>
      </c>
      <c r="AR13" s="32">
        <f t="shared" si="27"/>
        <v>1181.3931243931177</v>
      </c>
      <c r="AS13" s="33">
        <f t="shared" si="28"/>
        <v>9.1450652599151283</v>
      </c>
      <c r="AT13" s="36">
        <f t="shared" si="29"/>
        <v>4.4011869840424309E-2</v>
      </c>
      <c r="AU13" s="36">
        <f t="shared" si="30"/>
        <v>1</v>
      </c>
    </row>
    <row r="14" spans="1:47" ht="15.75" thickBot="1">
      <c r="A14" s="37"/>
      <c r="B14" s="38">
        <f t="shared" si="31"/>
        <v>0.49999999999999994</v>
      </c>
      <c r="C14" s="38">
        <f t="shared" si="6"/>
        <v>8.333333333333332E-6</v>
      </c>
      <c r="D14" s="38">
        <f t="shared" si="7"/>
        <v>1.8847850000000006E-5</v>
      </c>
      <c r="E14" s="38">
        <f t="shared" si="8"/>
        <v>0.44213707841124211</v>
      </c>
      <c r="F14" s="38">
        <v>992</v>
      </c>
      <c r="G14" s="38">
        <v>7.9199999999999995E-4</v>
      </c>
      <c r="H14" s="38">
        <v>4179</v>
      </c>
      <c r="I14" s="38">
        <v>0.63300000000000001</v>
      </c>
      <c r="J14" s="38">
        <f t="shared" si="9"/>
        <v>2713.5604933603104</v>
      </c>
      <c r="K14" s="38">
        <f t="shared" si="10"/>
        <v>8.266666666666667E-3</v>
      </c>
      <c r="L14" s="39">
        <v>40.46</v>
      </c>
      <c r="M14" s="39">
        <v>33.6</v>
      </c>
      <c r="N14" s="39">
        <f t="shared" si="11"/>
        <v>6.8599999999999994</v>
      </c>
      <c r="O14" s="40">
        <f t="shared" si="12"/>
        <v>236.98830399999997</v>
      </c>
      <c r="P14" s="41">
        <v>5.5</v>
      </c>
      <c r="Q14" s="39">
        <f t="shared" si="13"/>
        <v>9.1666666666666668E-5</v>
      </c>
      <c r="R14" s="39">
        <v>25.5</v>
      </c>
      <c r="S14" s="39">
        <v>26.099999999999998</v>
      </c>
      <c r="T14" s="39">
        <f t="shared" si="14"/>
        <v>0.59999999999999787</v>
      </c>
      <c r="U14" s="39">
        <f t="shared" si="0"/>
        <v>10.932922292895277</v>
      </c>
      <c r="V14" s="39">
        <f t="shared" si="15"/>
        <v>6.3E-3</v>
      </c>
      <c r="W14" s="38">
        <f t="shared" si="16"/>
        <v>3.85E-2</v>
      </c>
      <c r="X14" s="38">
        <f t="shared" si="17"/>
        <v>3.2199999999999999E-2</v>
      </c>
      <c r="Y14" s="38">
        <f t="shared" si="18"/>
        <v>1.1324096E-3</v>
      </c>
      <c r="Z14" s="38">
        <f t="shared" si="1"/>
        <v>8.0948330592275686E-2</v>
      </c>
      <c r="AA14" s="38">
        <v>996</v>
      </c>
      <c r="AB14" s="38">
        <v>8.4500000000000005E-4</v>
      </c>
      <c r="AC14" s="38">
        <v>4181</v>
      </c>
      <c r="AD14" s="38">
        <v>0.61299999999999999</v>
      </c>
      <c r="AE14" s="38">
        <f t="shared" si="2"/>
        <v>3072.3196450780965</v>
      </c>
      <c r="AF14" s="38">
        <f t="shared" si="3"/>
        <v>9.1300000000000006E-2</v>
      </c>
      <c r="AG14" s="38">
        <f t="shared" si="19"/>
        <v>229.0351799999992</v>
      </c>
      <c r="AH14" s="38">
        <f t="shared" si="20"/>
        <v>3.3559141382777993</v>
      </c>
      <c r="AI14" s="38">
        <f t="shared" si="4"/>
        <v>21.676574446523418</v>
      </c>
      <c r="AJ14" s="38">
        <f t="shared" si="21"/>
        <v>876.61811531790181</v>
      </c>
      <c r="AK14" s="38">
        <f t="shared" si="22"/>
        <v>1.1407475872630744E-3</v>
      </c>
      <c r="AL14" s="38">
        <f t="shared" si="23"/>
        <v>24.028648938107196</v>
      </c>
      <c r="AM14" s="38">
        <v>54</v>
      </c>
      <c r="AN14" s="38">
        <f t="shared" si="24"/>
        <v>2338.0256823904301</v>
      </c>
      <c r="AO14" s="38">
        <f t="shared" si="25"/>
        <v>3.3266434309762029E-4</v>
      </c>
      <c r="AP14" s="26">
        <f t="shared" si="26"/>
        <v>2.2754031850022165E-5</v>
      </c>
      <c r="AQ14" s="38">
        <f t="shared" si="5"/>
        <v>7.8532921231543203E-4</v>
      </c>
      <c r="AR14" s="38">
        <f t="shared" si="27"/>
        <v>1273.3513338331597</v>
      </c>
      <c r="AS14" s="39">
        <f t="shared" si="28"/>
        <v>9.8569060596879652</v>
      </c>
      <c r="AT14" s="42">
        <f t="shared" si="29"/>
        <v>4.0833444030439724E-2</v>
      </c>
      <c r="AU14" s="42">
        <f t="shared" si="30"/>
        <v>1</v>
      </c>
    </row>
    <row r="15" spans="1:47" ht="15.75" thickBot="1">
      <c r="A15" s="11" t="s">
        <v>56</v>
      </c>
      <c r="B15" s="26">
        <v>0.1</v>
      </c>
      <c r="C15" s="26">
        <f>B15/60000</f>
        <v>1.6666666666666667E-6</v>
      </c>
      <c r="D15" s="26">
        <f>(3.14/4)*(4.9/1000)*(4.9/1000)</f>
        <v>1.8847850000000006E-5</v>
      </c>
      <c r="E15" s="26">
        <f>C15/D15</f>
        <v>8.8427415682248434E-2</v>
      </c>
      <c r="F15" s="26">
        <v>995</v>
      </c>
      <c r="G15" s="26">
        <v>8.1899999999999996E-4</v>
      </c>
      <c r="H15" s="26">
        <v>4158</v>
      </c>
      <c r="I15" s="26">
        <v>0.66</v>
      </c>
      <c r="J15" s="43">
        <f>(F15*E15*0.0049)/G15</f>
        <v>526.40764976654725</v>
      </c>
      <c r="K15" s="26">
        <f>F15*D15*E15</f>
        <v>1.6583333333333335E-3</v>
      </c>
      <c r="L15" s="27">
        <v>38.9</v>
      </c>
      <c r="M15" s="27">
        <v>26.96</v>
      </c>
      <c r="N15" s="44">
        <f t="shared" si="11"/>
        <v>11.939999999999998</v>
      </c>
      <c r="O15" s="28">
        <f>K15*H15*(L15-M15)</f>
        <v>82.330478999999997</v>
      </c>
      <c r="P15" s="29">
        <v>5.5</v>
      </c>
      <c r="Q15" s="27">
        <f>P15/60000</f>
        <v>9.1666666666666668E-5</v>
      </c>
      <c r="R15" s="27">
        <v>23.13</v>
      </c>
      <c r="S15" s="27">
        <v>23.34</v>
      </c>
      <c r="T15" s="27">
        <f t="shared" si="14"/>
        <v>0.21000000000000085</v>
      </c>
      <c r="U15" s="27">
        <f t="shared" si="0"/>
        <v>8.3675817123751486</v>
      </c>
      <c r="V15" s="27">
        <f>6.3/1000</f>
        <v>6.3E-3</v>
      </c>
      <c r="W15" s="26">
        <f>38.5/1000</f>
        <v>3.85E-2</v>
      </c>
      <c r="X15" s="26">
        <f>W15-V15</f>
        <v>3.2199999999999999E-2</v>
      </c>
      <c r="Y15" s="26">
        <f>3.14*(W15*W15-V15*V15)/4</f>
        <v>1.1324096E-3</v>
      </c>
      <c r="Z15" s="26">
        <f t="shared" si="1"/>
        <v>8.0948330592275686E-2</v>
      </c>
      <c r="AA15" s="26">
        <v>996</v>
      </c>
      <c r="AB15" s="26">
        <v>8.4500000000000005E-4</v>
      </c>
      <c r="AC15" s="26">
        <v>4181</v>
      </c>
      <c r="AD15" s="26">
        <v>0.61299999999999999</v>
      </c>
      <c r="AE15" s="26">
        <f t="shared" si="2"/>
        <v>3072.3196450780965</v>
      </c>
      <c r="AF15" s="26">
        <f t="shared" si="3"/>
        <v>9.1300000000000006E-2</v>
      </c>
      <c r="AG15" s="26">
        <f t="shared" si="19"/>
        <v>80.162313000000324</v>
      </c>
      <c r="AH15" s="26">
        <f t="shared" si="20"/>
        <v>2.6334912979185661</v>
      </c>
      <c r="AI15" s="26">
        <f t="shared" si="4"/>
        <v>9.8392201988584329</v>
      </c>
      <c r="AJ15" s="26">
        <f t="shared" si="21"/>
        <v>397.90598317090013</v>
      </c>
      <c r="AK15" s="26">
        <f>1/AJ15</f>
        <v>2.5131564799077202E-3</v>
      </c>
      <c r="AL15" s="26">
        <f>0.023*POWER(AE15,0.8)*POWER(5.2,0.3)</f>
        <v>23.254229666155162</v>
      </c>
      <c r="AM15" s="26">
        <v>54</v>
      </c>
      <c r="AN15" s="26">
        <f t="shared" si="24"/>
        <v>2262.6734579925578</v>
      </c>
      <c r="AO15" s="26">
        <f t="shared" si="25"/>
        <v>3.4374282998299793E-4</v>
      </c>
      <c r="AP15" s="26">
        <f t="shared" si="26"/>
        <v>2.2754031850022165E-5</v>
      </c>
      <c r="AQ15" s="26">
        <f t="shared" si="5"/>
        <v>2.1466596180747003E-3</v>
      </c>
      <c r="AR15" s="26">
        <f>1/AQ15</f>
        <v>465.84003890513469</v>
      </c>
      <c r="AS15" s="27">
        <f>AR15*0.0049/0.61</f>
        <v>3.7419937551396067</v>
      </c>
      <c r="AT15" s="30">
        <f t="shared" si="29"/>
        <v>0.1116162546769635</v>
      </c>
      <c r="AU15" s="30">
        <f>AS15/AS6</f>
        <v>1.477251773989021</v>
      </c>
    </row>
    <row r="16" spans="1:47" ht="15.75" thickBot="1">
      <c r="A16" s="11"/>
      <c r="B16" s="32">
        <f>B15+0.05</f>
        <v>0.15000000000000002</v>
      </c>
      <c r="C16" s="32">
        <f t="shared" ref="C16:C23" si="32">B16/60000</f>
        <v>2.5000000000000002E-6</v>
      </c>
      <c r="D16" s="32">
        <f t="shared" ref="D16:D23" si="33">(3.14/4)*(4.9/1000)*(4.9/1000)</f>
        <v>1.8847850000000006E-5</v>
      </c>
      <c r="E16" s="32">
        <f t="shared" ref="E16:E23" si="34">C16/D16</f>
        <v>0.13264112352337265</v>
      </c>
      <c r="F16" s="32">
        <v>995</v>
      </c>
      <c r="G16" s="32">
        <v>8.1899999999999996E-4</v>
      </c>
      <c r="H16" s="32">
        <v>4158</v>
      </c>
      <c r="I16" s="32">
        <v>0.66</v>
      </c>
      <c r="J16" s="45">
        <f t="shared" si="9"/>
        <v>789.61147464982093</v>
      </c>
      <c r="K16" s="32">
        <f t="shared" ref="K16:K23" si="35">F16*D16*E16</f>
        <v>2.4875000000000001E-3</v>
      </c>
      <c r="L16" s="33">
        <v>41.1</v>
      </c>
      <c r="M16" s="33">
        <v>28.48</v>
      </c>
      <c r="N16" s="33">
        <f t="shared" si="11"/>
        <v>12.620000000000001</v>
      </c>
      <c r="O16" s="34">
        <f t="shared" ref="O16:O23" si="36">K16*H16*(L16-M16)</f>
        <v>130.52897550000003</v>
      </c>
      <c r="P16" s="35">
        <v>5.5</v>
      </c>
      <c r="Q16" s="33">
        <f t="shared" ref="Q16:Q23" si="37">P16/60000</f>
        <v>9.1666666666666668E-5</v>
      </c>
      <c r="R16" s="33">
        <v>21.76</v>
      </c>
      <c r="S16" s="33">
        <v>22.09</v>
      </c>
      <c r="T16" s="33">
        <f t="shared" si="14"/>
        <v>0.32999999999999829</v>
      </c>
      <c r="U16" s="33">
        <f t="shared" si="0"/>
        <v>11.818705459177325</v>
      </c>
      <c r="V16" s="33">
        <f t="shared" ref="V16:V23" si="38">6.3/1000</f>
        <v>6.3E-3</v>
      </c>
      <c r="W16" s="32">
        <f t="shared" ref="W16:W23" si="39">38.5/1000</f>
        <v>3.85E-2</v>
      </c>
      <c r="X16" s="32">
        <f t="shared" ref="X16:X23" si="40">W16-V16</f>
        <v>3.2199999999999999E-2</v>
      </c>
      <c r="Y16" s="32">
        <f t="shared" ref="Y16:Y23" si="41">3.14*(W16*W16-V16*V16)/4</f>
        <v>1.1324096E-3</v>
      </c>
      <c r="Z16" s="32">
        <f t="shared" si="1"/>
        <v>8.0948330592275686E-2</v>
      </c>
      <c r="AA16" s="32">
        <v>996</v>
      </c>
      <c r="AB16" s="32">
        <v>8.4500000000000005E-4</v>
      </c>
      <c r="AC16" s="32">
        <v>4181</v>
      </c>
      <c r="AD16" s="32">
        <v>0.61299999999999999</v>
      </c>
      <c r="AE16" s="32">
        <f t="shared" si="2"/>
        <v>3072.3196450780965</v>
      </c>
      <c r="AF16" s="32">
        <f t="shared" si="3"/>
        <v>9.1300000000000006E-2</v>
      </c>
      <c r="AG16" s="32">
        <f t="shared" si="19"/>
        <v>125.96934899999935</v>
      </c>
      <c r="AH16" s="32">
        <f t="shared" si="20"/>
        <v>3.4931910577974881</v>
      </c>
      <c r="AI16" s="32">
        <f t="shared" si="4"/>
        <v>11.044270114934049</v>
      </c>
      <c r="AJ16" s="32">
        <f t="shared" si="21"/>
        <v>446.63917156744714</v>
      </c>
      <c r="AK16" s="32">
        <f t="shared" ref="AK16:AK23" si="42">1/AJ16</f>
        <v>2.2389437910037627E-3</v>
      </c>
      <c r="AL16" s="26">
        <f t="shared" ref="AL16:AL41" si="43">0.023*POWER(AE16,0.8)*POWER(5.2,0.3)</f>
        <v>23.254229666155162</v>
      </c>
      <c r="AM16" s="32">
        <v>54</v>
      </c>
      <c r="AN16" s="32">
        <f t="shared" si="24"/>
        <v>2262.6734579925578</v>
      </c>
      <c r="AO16" s="32">
        <f t="shared" si="25"/>
        <v>3.4374282998299793E-4</v>
      </c>
      <c r="AP16" s="26">
        <f t="shared" si="26"/>
        <v>2.2754031850022165E-5</v>
      </c>
      <c r="AQ16" s="32">
        <f t="shared" si="5"/>
        <v>1.8724469291707426E-3</v>
      </c>
      <c r="AR16" s="32">
        <f t="shared" ref="AR16:AR23" si="44">1/AQ16</f>
        <v>534.06053032588409</v>
      </c>
      <c r="AS16" s="27">
        <f t="shared" ref="AS16:AS23" si="45">AR16*0.0049/0.61</f>
        <v>4.2899944239292322</v>
      </c>
      <c r="AT16" s="36">
        <f t="shared" si="29"/>
        <v>9.7358478053853781E-2</v>
      </c>
      <c r="AU16" s="36">
        <f t="shared" ref="AU16:AU23" si="46">AS16/AS7</f>
        <v>1.2654598922602784</v>
      </c>
    </row>
    <row r="17" spans="1:47" ht="15.75" thickBot="1">
      <c r="A17" s="11"/>
      <c r="B17" s="32">
        <f t="shared" ref="B17:B23" si="47">B16+0.05</f>
        <v>0.2</v>
      </c>
      <c r="C17" s="32">
        <f t="shared" si="32"/>
        <v>3.3333333333333333E-6</v>
      </c>
      <c r="D17" s="32">
        <f t="shared" si="33"/>
        <v>1.8847850000000006E-5</v>
      </c>
      <c r="E17" s="32">
        <f t="shared" si="34"/>
        <v>0.17685483136449687</v>
      </c>
      <c r="F17" s="32">
        <v>995</v>
      </c>
      <c r="G17" s="32">
        <v>8.1899999999999996E-4</v>
      </c>
      <c r="H17" s="32">
        <v>4158</v>
      </c>
      <c r="I17" s="32">
        <v>0.66</v>
      </c>
      <c r="J17" s="45">
        <f t="shared" si="9"/>
        <v>1052.8152995330945</v>
      </c>
      <c r="K17" s="32">
        <f t="shared" si="35"/>
        <v>3.316666666666667E-3</v>
      </c>
      <c r="L17" s="33">
        <v>40.93</v>
      </c>
      <c r="M17" s="33">
        <v>28.75</v>
      </c>
      <c r="N17" s="33">
        <f t="shared" si="11"/>
        <v>12.18</v>
      </c>
      <c r="O17" s="34">
        <f t="shared" si="36"/>
        <v>167.97072600000001</v>
      </c>
      <c r="P17" s="35">
        <v>5.5</v>
      </c>
      <c r="Q17" s="33">
        <f t="shared" si="37"/>
        <v>9.1666666666666668E-5</v>
      </c>
      <c r="R17" s="33">
        <v>21.27</v>
      </c>
      <c r="S17" s="33">
        <v>21.69</v>
      </c>
      <c r="T17" s="33">
        <f t="shared" si="14"/>
        <v>0.42000000000000171</v>
      </c>
      <c r="U17" s="33">
        <f t="shared" si="0"/>
        <v>12.447623485141527</v>
      </c>
      <c r="V17" s="33">
        <f t="shared" si="38"/>
        <v>6.3E-3</v>
      </c>
      <c r="W17" s="32">
        <f t="shared" si="39"/>
        <v>3.85E-2</v>
      </c>
      <c r="X17" s="32">
        <f t="shared" si="40"/>
        <v>3.2199999999999999E-2</v>
      </c>
      <c r="Y17" s="32">
        <f t="shared" si="41"/>
        <v>1.1324096E-3</v>
      </c>
      <c r="Z17" s="32">
        <f t="shared" si="1"/>
        <v>8.0948330592275686E-2</v>
      </c>
      <c r="AA17" s="32">
        <v>996</v>
      </c>
      <c r="AB17" s="32">
        <v>8.4500000000000005E-4</v>
      </c>
      <c r="AC17" s="32">
        <v>4181</v>
      </c>
      <c r="AD17" s="32">
        <v>0.61299999999999999</v>
      </c>
      <c r="AE17" s="32">
        <f t="shared" si="2"/>
        <v>3072.3196450780965</v>
      </c>
      <c r="AF17" s="32">
        <f t="shared" si="3"/>
        <v>9.1300000000000006E-2</v>
      </c>
      <c r="AG17" s="32">
        <f t="shared" si="19"/>
        <v>160.32462600000065</v>
      </c>
      <c r="AH17" s="32">
        <f t="shared" si="20"/>
        <v>4.5520431935260932</v>
      </c>
      <c r="AI17" s="32">
        <f t="shared" si="4"/>
        <v>13.494200415083508</v>
      </c>
      <c r="AJ17" s="32">
        <f t="shared" si="21"/>
        <v>545.71632454083544</v>
      </c>
      <c r="AK17" s="32">
        <f t="shared" si="42"/>
        <v>1.8324538868090448E-3</v>
      </c>
      <c r="AL17" s="26">
        <f t="shared" si="43"/>
        <v>23.254229666155162</v>
      </c>
      <c r="AM17" s="32">
        <v>54</v>
      </c>
      <c r="AN17" s="32">
        <f t="shared" si="24"/>
        <v>2262.6734579925578</v>
      </c>
      <c r="AO17" s="32">
        <f t="shared" si="25"/>
        <v>3.4374282998299793E-4</v>
      </c>
      <c r="AP17" s="26">
        <f t="shared" si="26"/>
        <v>2.2754031850022165E-5</v>
      </c>
      <c r="AQ17" s="32">
        <f t="shared" si="5"/>
        <v>1.4659570249760247E-3</v>
      </c>
      <c r="AR17" s="32">
        <f t="shared" si="44"/>
        <v>682.14823692826519</v>
      </c>
      <c r="AS17" s="27">
        <f t="shared" si="45"/>
        <v>5.4795514113909825</v>
      </c>
      <c r="AT17" s="36">
        <f t="shared" si="29"/>
        <v>7.622290523728191E-2</v>
      </c>
      <c r="AU17" s="36">
        <f t="shared" si="46"/>
        <v>1.2345456699224229</v>
      </c>
    </row>
    <row r="18" spans="1:47" ht="15.75" thickBot="1">
      <c r="A18" s="11"/>
      <c r="B18" s="32">
        <f t="shared" si="47"/>
        <v>0.25</v>
      </c>
      <c r="C18" s="32">
        <f t="shared" si="32"/>
        <v>4.1666666666666669E-6</v>
      </c>
      <c r="D18" s="32">
        <f t="shared" si="33"/>
        <v>1.8847850000000006E-5</v>
      </c>
      <c r="E18" s="32">
        <f t="shared" si="34"/>
        <v>0.22106853920562108</v>
      </c>
      <c r="F18" s="32">
        <v>995</v>
      </c>
      <c r="G18" s="32">
        <v>8.1899999999999996E-4</v>
      </c>
      <c r="H18" s="32">
        <v>4158</v>
      </c>
      <c r="I18" s="32">
        <v>0.66</v>
      </c>
      <c r="J18" s="45">
        <f t="shared" si="9"/>
        <v>1316.0191244163684</v>
      </c>
      <c r="K18" s="32">
        <f t="shared" si="35"/>
        <v>4.1458333333333338E-3</v>
      </c>
      <c r="L18" s="33">
        <v>41.24</v>
      </c>
      <c r="M18" s="33">
        <v>29.25</v>
      </c>
      <c r="N18" s="33">
        <f t="shared" si="11"/>
        <v>11.990000000000002</v>
      </c>
      <c r="O18" s="34">
        <f t="shared" si="36"/>
        <v>206.68811625000006</v>
      </c>
      <c r="P18" s="35">
        <v>5.5</v>
      </c>
      <c r="Q18" s="33">
        <f t="shared" si="37"/>
        <v>9.1666666666666668E-5</v>
      </c>
      <c r="R18" s="33">
        <v>21.4</v>
      </c>
      <c r="S18" s="33">
        <v>21.93</v>
      </c>
      <c r="T18" s="33">
        <f t="shared" si="14"/>
        <v>0.53000000000000114</v>
      </c>
      <c r="U18" s="33">
        <f t="shared" si="0"/>
        <v>12.731783385176785</v>
      </c>
      <c r="V18" s="33">
        <f t="shared" si="38"/>
        <v>6.3E-3</v>
      </c>
      <c r="W18" s="32">
        <f t="shared" si="39"/>
        <v>3.85E-2</v>
      </c>
      <c r="X18" s="32">
        <f t="shared" si="40"/>
        <v>3.2199999999999999E-2</v>
      </c>
      <c r="Y18" s="32">
        <f t="shared" si="41"/>
        <v>1.1324096E-3</v>
      </c>
      <c r="Z18" s="32">
        <f t="shared" si="1"/>
        <v>8.0948330592275686E-2</v>
      </c>
      <c r="AA18" s="32">
        <v>996</v>
      </c>
      <c r="AB18" s="32">
        <v>8.4500000000000005E-4</v>
      </c>
      <c r="AC18" s="32">
        <v>4181</v>
      </c>
      <c r="AD18" s="32">
        <v>0.61299999999999999</v>
      </c>
      <c r="AE18" s="32">
        <f t="shared" si="2"/>
        <v>3072.3196450780965</v>
      </c>
      <c r="AF18" s="32">
        <f t="shared" si="3"/>
        <v>9.1300000000000006E-2</v>
      </c>
      <c r="AG18" s="32">
        <f t="shared" si="19"/>
        <v>202.31440900000044</v>
      </c>
      <c r="AH18" s="32">
        <f t="shared" si="20"/>
        <v>2.1160903342451478</v>
      </c>
      <c r="AI18" s="32">
        <f t="shared" si="4"/>
        <v>16.234027079870096</v>
      </c>
      <c r="AJ18" s="32">
        <f t="shared" si="21"/>
        <v>656.51711980063067</v>
      </c>
      <c r="AK18" s="32">
        <f t="shared" si="42"/>
        <v>1.5231895252079295E-3</v>
      </c>
      <c r="AL18" s="26">
        <f t="shared" si="43"/>
        <v>23.254229666155162</v>
      </c>
      <c r="AM18" s="32">
        <v>54</v>
      </c>
      <c r="AN18" s="32">
        <f t="shared" si="24"/>
        <v>2262.6734579925578</v>
      </c>
      <c r="AO18" s="32">
        <f t="shared" si="25"/>
        <v>3.4374282998299793E-4</v>
      </c>
      <c r="AP18" s="26">
        <f t="shared" si="26"/>
        <v>2.2754031850022165E-5</v>
      </c>
      <c r="AQ18" s="32">
        <f t="shared" si="5"/>
        <v>1.1566926633749094E-3</v>
      </c>
      <c r="AR18" s="32">
        <f t="shared" si="44"/>
        <v>864.53388325493177</v>
      </c>
      <c r="AS18" s="27">
        <f t="shared" si="45"/>
        <v>6.9446164392609271</v>
      </c>
      <c r="AT18" s="36">
        <f t="shared" si="29"/>
        <v>6.0142605660985796E-2</v>
      </c>
      <c r="AU18" s="36">
        <f t="shared" si="46"/>
        <v>1.4904947141387443</v>
      </c>
    </row>
    <row r="19" spans="1:47" ht="15.75" thickBot="1">
      <c r="A19" s="11"/>
      <c r="B19" s="32">
        <f t="shared" si="47"/>
        <v>0.3</v>
      </c>
      <c r="C19" s="32">
        <f t="shared" si="32"/>
        <v>4.9999999999999996E-6</v>
      </c>
      <c r="D19" s="32">
        <f t="shared" si="33"/>
        <v>1.8847850000000006E-5</v>
      </c>
      <c r="E19" s="32">
        <f t="shared" si="34"/>
        <v>0.2652822470467453</v>
      </c>
      <c r="F19" s="32">
        <v>995</v>
      </c>
      <c r="G19" s="32">
        <v>8.1899999999999996E-4</v>
      </c>
      <c r="H19" s="32">
        <v>4158</v>
      </c>
      <c r="I19" s="32">
        <v>0.66</v>
      </c>
      <c r="J19" s="45">
        <f t="shared" si="9"/>
        <v>1579.2229492996419</v>
      </c>
      <c r="K19" s="32">
        <f t="shared" si="35"/>
        <v>4.9750000000000003E-3</v>
      </c>
      <c r="L19" s="33">
        <v>40.86</v>
      </c>
      <c r="M19" s="33">
        <v>30.07</v>
      </c>
      <c r="N19" s="33">
        <f t="shared" si="11"/>
        <v>10.79</v>
      </c>
      <c r="O19" s="34">
        <f t="shared" si="36"/>
        <v>223.20247950000001</v>
      </c>
      <c r="P19" s="35">
        <v>5.5</v>
      </c>
      <c r="Q19" s="33">
        <f t="shared" si="37"/>
        <v>9.1666666666666668E-5</v>
      </c>
      <c r="R19" s="33">
        <v>21.4</v>
      </c>
      <c r="S19" s="33">
        <v>21.96</v>
      </c>
      <c r="T19" s="33">
        <f t="shared" si="14"/>
        <v>0.56000000000000227</v>
      </c>
      <c r="U19" s="33">
        <f t="shared" si="0"/>
        <v>13.12728110831293</v>
      </c>
      <c r="V19" s="33">
        <f t="shared" si="38"/>
        <v>6.3E-3</v>
      </c>
      <c r="W19" s="32">
        <f t="shared" si="39"/>
        <v>3.85E-2</v>
      </c>
      <c r="X19" s="32">
        <f t="shared" si="40"/>
        <v>3.2199999999999999E-2</v>
      </c>
      <c r="Y19" s="32">
        <f t="shared" si="41"/>
        <v>1.1324096E-3</v>
      </c>
      <c r="Z19" s="32">
        <f t="shared" si="1"/>
        <v>8.0948330592275686E-2</v>
      </c>
      <c r="AA19" s="32">
        <v>996</v>
      </c>
      <c r="AB19" s="32">
        <v>8.4500000000000005E-4</v>
      </c>
      <c r="AC19" s="32">
        <v>4181</v>
      </c>
      <c r="AD19" s="32">
        <v>0.61299999999999999</v>
      </c>
      <c r="AE19" s="32">
        <f t="shared" si="2"/>
        <v>3072.3196450780965</v>
      </c>
      <c r="AF19" s="32">
        <f t="shared" si="3"/>
        <v>9.1300000000000006E-2</v>
      </c>
      <c r="AG19" s="32">
        <f t="shared" si="19"/>
        <v>213.76616800000087</v>
      </c>
      <c r="AH19" s="32">
        <f t="shared" si="20"/>
        <v>4.2276911623641418</v>
      </c>
      <c r="AI19" s="32">
        <f t="shared" si="4"/>
        <v>17.002948109236094</v>
      </c>
      <c r="AJ19" s="32">
        <f t="shared" si="21"/>
        <v>687.61290503431781</v>
      </c>
      <c r="AK19" s="32">
        <f t="shared" si="42"/>
        <v>1.4543066203070918E-3</v>
      </c>
      <c r="AL19" s="26">
        <f t="shared" si="43"/>
        <v>23.254229666155162</v>
      </c>
      <c r="AM19" s="32">
        <v>54</v>
      </c>
      <c r="AN19" s="32">
        <f t="shared" si="24"/>
        <v>2262.6734579925578</v>
      </c>
      <c r="AO19" s="32">
        <f t="shared" si="25"/>
        <v>3.4374282998299793E-4</v>
      </c>
      <c r="AP19" s="26">
        <f t="shared" si="26"/>
        <v>2.2754031850022165E-5</v>
      </c>
      <c r="AQ19" s="32">
        <f t="shared" si="5"/>
        <v>1.0878097584740717E-3</v>
      </c>
      <c r="AR19" s="32">
        <f t="shared" si="44"/>
        <v>919.27838687782412</v>
      </c>
      <c r="AS19" s="27">
        <f t="shared" si="45"/>
        <v>7.3843673700021935</v>
      </c>
      <c r="AT19" s="36">
        <f t="shared" si="29"/>
        <v>5.6561016949126304E-2</v>
      </c>
      <c r="AU19" s="36">
        <f t="shared" si="46"/>
        <v>1.2612127725303903</v>
      </c>
    </row>
    <row r="20" spans="1:47" ht="15.75" thickBot="1">
      <c r="A20" s="11"/>
      <c r="B20" s="32">
        <f t="shared" si="47"/>
        <v>0.35</v>
      </c>
      <c r="C20" s="32">
        <f t="shared" si="32"/>
        <v>5.8333333333333331E-6</v>
      </c>
      <c r="D20" s="32">
        <f t="shared" si="33"/>
        <v>1.8847850000000006E-5</v>
      </c>
      <c r="E20" s="32">
        <f t="shared" si="34"/>
        <v>0.30949595488786952</v>
      </c>
      <c r="F20" s="32">
        <v>995</v>
      </c>
      <c r="G20" s="32">
        <v>8.1899999999999996E-4</v>
      </c>
      <c r="H20" s="32">
        <v>4158</v>
      </c>
      <c r="I20" s="32">
        <v>0.66</v>
      </c>
      <c r="J20" s="45">
        <f t="shared" si="9"/>
        <v>1842.4267741829156</v>
      </c>
      <c r="K20" s="32">
        <f t="shared" si="35"/>
        <v>5.8041666666666667E-3</v>
      </c>
      <c r="L20" s="33">
        <v>39.51</v>
      </c>
      <c r="M20" s="33">
        <v>29.76</v>
      </c>
      <c r="N20" s="33">
        <f t="shared" si="11"/>
        <v>9.7499999999999964</v>
      </c>
      <c r="O20" s="34">
        <f t="shared" si="36"/>
        <v>235.30381874999989</v>
      </c>
      <c r="P20" s="35">
        <v>5.5</v>
      </c>
      <c r="Q20" s="33">
        <f t="shared" si="37"/>
        <v>9.1666666666666668E-5</v>
      </c>
      <c r="R20" s="33">
        <v>21.86</v>
      </c>
      <c r="S20" s="33">
        <v>22.450000000000003</v>
      </c>
      <c r="T20" s="33">
        <f t="shared" si="14"/>
        <v>0.59000000000000341</v>
      </c>
      <c r="U20" s="33">
        <f t="shared" si="0"/>
        <v>11.898054209843865</v>
      </c>
      <c r="V20" s="33">
        <f t="shared" si="38"/>
        <v>6.3E-3</v>
      </c>
      <c r="W20" s="32">
        <f t="shared" si="39"/>
        <v>3.85E-2</v>
      </c>
      <c r="X20" s="32">
        <f t="shared" si="40"/>
        <v>3.2199999999999999E-2</v>
      </c>
      <c r="Y20" s="32">
        <f t="shared" si="41"/>
        <v>1.1324096E-3</v>
      </c>
      <c r="Z20" s="32">
        <f t="shared" si="1"/>
        <v>8.0948330592275686E-2</v>
      </c>
      <c r="AA20" s="32">
        <v>996</v>
      </c>
      <c r="AB20" s="32">
        <v>8.4500000000000005E-4</v>
      </c>
      <c r="AC20" s="32">
        <v>4181</v>
      </c>
      <c r="AD20" s="32">
        <v>0.61299999999999999</v>
      </c>
      <c r="AE20" s="32">
        <f t="shared" si="2"/>
        <v>3072.3196450780965</v>
      </c>
      <c r="AF20" s="32">
        <f t="shared" si="3"/>
        <v>9.1300000000000006E-2</v>
      </c>
      <c r="AG20" s="32">
        <f t="shared" si="19"/>
        <v>225.21792700000131</v>
      </c>
      <c r="AH20" s="32">
        <f t="shared" si="20"/>
        <v>4.2863272698155415</v>
      </c>
      <c r="AI20" s="32">
        <f t="shared" si="4"/>
        <v>19.776663864526778</v>
      </c>
      <c r="AJ20" s="32">
        <f t="shared" si="21"/>
        <v>799.78420238709043</v>
      </c>
      <c r="AK20" s="32">
        <f t="shared" si="42"/>
        <v>1.2503372747490285E-3</v>
      </c>
      <c r="AL20" s="26">
        <f t="shared" si="43"/>
        <v>23.254229666155162</v>
      </c>
      <c r="AM20" s="32">
        <v>54</v>
      </c>
      <c r="AN20" s="32">
        <f t="shared" si="24"/>
        <v>2262.6734579925578</v>
      </c>
      <c r="AO20" s="32">
        <f t="shared" si="25"/>
        <v>3.4374282998299793E-4</v>
      </c>
      <c r="AP20" s="26">
        <f t="shared" si="26"/>
        <v>2.2754031850022165E-5</v>
      </c>
      <c r="AQ20" s="32">
        <f t="shared" si="5"/>
        <v>8.8384041291600845E-4</v>
      </c>
      <c r="AR20" s="32">
        <f t="shared" si="44"/>
        <v>1131.4259739501526</v>
      </c>
      <c r="AS20" s="27">
        <f t="shared" si="45"/>
        <v>9.0885037251733571</v>
      </c>
      <c r="AT20" s="36">
        <f t="shared" si="29"/>
        <v>4.5955565470740083E-2</v>
      </c>
      <c r="AU20" s="36">
        <f t="shared" si="46"/>
        <v>1.2076990785096797</v>
      </c>
    </row>
    <row r="21" spans="1:47" ht="15.75" thickBot="1">
      <c r="A21" s="11"/>
      <c r="B21" s="32">
        <f t="shared" si="47"/>
        <v>0.39999999999999997</v>
      </c>
      <c r="C21" s="32">
        <f t="shared" si="32"/>
        <v>6.6666666666666658E-6</v>
      </c>
      <c r="D21" s="32">
        <f t="shared" si="33"/>
        <v>1.8847850000000006E-5</v>
      </c>
      <c r="E21" s="32">
        <f t="shared" si="34"/>
        <v>0.35370966272899368</v>
      </c>
      <c r="F21" s="32">
        <v>995</v>
      </c>
      <c r="G21" s="32">
        <v>8.1899999999999996E-4</v>
      </c>
      <c r="H21" s="32">
        <v>4158</v>
      </c>
      <c r="I21" s="32">
        <v>0.66</v>
      </c>
      <c r="J21" s="45">
        <f t="shared" si="9"/>
        <v>2105.630599066189</v>
      </c>
      <c r="K21" s="32">
        <f t="shared" si="35"/>
        <v>6.6333333333333322E-3</v>
      </c>
      <c r="L21" s="33">
        <v>39.94</v>
      </c>
      <c r="M21" s="33">
        <v>30.3</v>
      </c>
      <c r="N21" s="33">
        <f t="shared" si="11"/>
        <v>9.639999999999997</v>
      </c>
      <c r="O21" s="34">
        <f t="shared" si="36"/>
        <v>265.88469599999985</v>
      </c>
      <c r="P21" s="35">
        <v>5.5</v>
      </c>
      <c r="Q21" s="33">
        <f t="shared" si="37"/>
        <v>9.1666666666666668E-5</v>
      </c>
      <c r="R21" s="33">
        <v>22.02</v>
      </c>
      <c r="S21" s="33">
        <v>22.680000000000003</v>
      </c>
      <c r="T21" s="33">
        <f t="shared" si="14"/>
        <v>0.66000000000000369</v>
      </c>
      <c r="U21" s="33">
        <f t="shared" si="0"/>
        <v>12.225193222745103</v>
      </c>
      <c r="V21" s="33">
        <f t="shared" si="38"/>
        <v>6.3E-3</v>
      </c>
      <c r="W21" s="32">
        <f t="shared" si="39"/>
        <v>3.85E-2</v>
      </c>
      <c r="X21" s="32">
        <f t="shared" si="40"/>
        <v>3.2199999999999999E-2</v>
      </c>
      <c r="Y21" s="32">
        <f t="shared" si="41"/>
        <v>1.1324096E-3</v>
      </c>
      <c r="Z21" s="32">
        <f t="shared" si="1"/>
        <v>8.0948330592275686E-2</v>
      </c>
      <c r="AA21" s="32">
        <v>996</v>
      </c>
      <c r="AB21" s="32">
        <v>8.4500000000000005E-4</v>
      </c>
      <c r="AC21" s="32">
        <v>4181</v>
      </c>
      <c r="AD21" s="32">
        <v>0.61299999999999999</v>
      </c>
      <c r="AE21" s="32">
        <f t="shared" si="2"/>
        <v>3072.3196450780965</v>
      </c>
      <c r="AF21" s="32">
        <f t="shared" si="3"/>
        <v>9.1300000000000006E-2</v>
      </c>
      <c r="AG21" s="32">
        <f t="shared" si="19"/>
        <v>251.93869800000141</v>
      </c>
      <c r="AH21" s="32">
        <f t="shared" si="20"/>
        <v>5.2451300168094095</v>
      </c>
      <c r="AI21" s="32">
        <f t="shared" si="4"/>
        <v>21.748915633113963</v>
      </c>
      <c r="AJ21" s="32">
        <f t="shared" si="21"/>
        <v>879.54365112178607</v>
      </c>
      <c r="AK21" s="32">
        <f t="shared" si="42"/>
        <v>1.1369532356064213E-3</v>
      </c>
      <c r="AL21" s="26">
        <f t="shared" si="43"/>
        <v>23.254229666155162</v>
      </c>
      <c r="AM21" s="32">
        <v>54</v>
      </c>
      <c r="AN21" s="32">
        <f t="shared" si="24"/>
        <v>2262.6734579925578</v>
      </c>
      <c r="AO21" s="32">
        <f t="shared" si="25"/>
        <v>3.4374282998299793E-4</v>
      </c>
      <c r="AP21" s="26">
        <f t="shared" si="26"/>
        <v>2.2754031850022165E-5</v>
      </c>
      <c r="AQ21" s="32">
        <f t="shared" si="5"/>
        <v>7.7045637377340132E-4</v>
      </c>
      <c r="AR21" s="32">
        <f t="shared" si="44"/>
        <v>1297.9320232012381</v>
      </c>
      <c r="AS21" s="27">
        <f t="shared" si="45"/>
        <v>10.426011333911585</v>
      </c>
      <c r="AT21" s="36">
        <f t="shared" si="29"/>
        <v>4.0060126024874625E-2</v>
      </c>
      <c r="AU21" s="36">
        <f t="shared" si="46"/>
        <v>1.3069362379282881</v>
      </c>
    </row>
    <row r="22" spans="1:47" ht="15.75" thickBot="1">
      <c r="A22" s="11"/>
      <c r="B22" s="32">
        <f t="shared" si="47"/>
        <v>0.44999999999999996</v>
      </c>
      <c r="C22" s="32">
        <f t="shared" si="32"/>
        <v>7.4999999999999993E-6</v>
      </c>
      <c r="D22" s="32">
        <f t="shared" si="33"/>
        <v>1.8847850000000006E-5</v>
      </c>
      <c r="E22" s="32">
        <f t="shared" si="34"/>
        <v>0.3979233705701179</v>
      </c>
      <c r="F22" s="32">
        <v>995</v>
      </c>
      <c r="G22" s="32">
        <v>8.1899999999999996E-4</v>
      </c>
      <c r="H22" s="32">
        <v>4158</v>
      </c>
      <c r="I22" s="32">
        <v>0.66</v>
      </c>
      <c r="J22" s="45">
        <f t="shared" si="9"/>
        <v>2368.8344239494627</v>
      </c>
      <c r="K22" s="32">
        <f t="shared" si="35"/>
        <v>7.4624999999999995E-3</v>
      </c>
      <c r="L22" s="33">
        <v>39.909999999999997</v>
      </c>
      <c r="M22" s="33">
        <v>30.43</v>
      </c>
      <c r="N22" s="33">
        <f t="shared" si="11"/>
        <v>9.4799999999999969</v>
      </c>
      <c r="O22" s="34">
        <f t="shared" si="36"/>
        <v>294.15563099999991</v>
      </c>
      <c r="P22" s="35">
        <v>5.5</v>
      </c>
      <c r="Q22" s="33">
        <f t="shared" si="37"/>
        <v>9.1666666666666668E-5</v>
      </c>
      <c r="R22" s="33">
        <v>21.93</v>
      </c>
      <c r="S22" s="33">
        <v>22.680000000000003</v>
      </c>
      <c r="T22" s="33">
        <f t="shared" si="14"/>
        <v>0.75000000000000355</v>
      </c>
      <c r="U22" s="33">
        <f t="shared" si="0"/>
        <v>12.355185915936238</v>
      </c>
      <c r="V22" s="33">
        <f t="shared" si="38"/>
        <v>6.3E-3</v>
      </c>
      <c r="W22" s="32">
        <f t="shared" si="39"/>
        <v>3.85E-2</v>
      </c>
      <c r="X22" s="32">
        <f t="shared" si="40"/>
        <v>3.2199999999999999E-2</v>
      </c>
      <c r="Y22" s="32">
        <f t="shared" si="41"/>
        <v>1.1324096E-3</v>
      </c>
      <c r="Z22" s="32">
        <f t="shared" si="1"/>
        <v>8.0948330592275686E-2</v>
      </c>
      <c r="AA22" s="32">
        <v>996</v>
      </c>
      <c r="AB22" s="32">
        <v>8.4500000000000005E-4</v>
      </c>
      <c r="AC22" s="32">
        <v>4181</v>
      </c>
      <c r="AD22" s="32">
        <v>0.61299999999999999</v>
      </c>
      <c r="AE22" s="32">
        <f t="shared" si="2"/>
        <v>3072.3196450780965</v>
      </c>
      <c r="AF22" s="32">
        <f t="shared" si="3"/>
        <v>9.1300000000000006E-2</v>
      </c>
      <c r="AG22" s="32">
        <f t="shared" si="19"/>
        <v>286.29397500000135</v>
      </c>
      <c r="AH22" s="32">
        <f t="shared" si="20"/>
        <v>2.6726178836938748</v>
      </c>
      <c r="AI22" s="32">
        <f t="shared" si="4"/>
        <v>23.808272332072772</v>
      </c>
      <c r="AJ22" s="32">
        <f t="shared" si="21"/>
        <v>962.82569334032041</v>
      </c>
      <c r="AK22" s="32">
        <f t="shared" si="42"/>
        <v>1.0386095914523335E-3</v>
      </c>
      <c r="AL22" s="26">
        <f t="shared" si="43"/>
        <v>23.254229666155162</v>
      </c>
      <c r="AM22" s="32">
        <v>54</v>
      </c>
      <c r="AN22" s="32">
        <f t="shared" si="24"/>
        <v>2262.6734579925578</v>
      </c>
      <c r="AO22" s="32">
        <f t="shared" si="25"/>
        <v>3.4374282998299793E-4</v>
      </c>
      <c r="AP22" s="26">
        <f t="shared" si="26"/>
        <v>2.2754031850022165E-5</v>
      </c>
      <c r="AQ22" s="32">
        <f t="shared" si="5"/>
        <v>6.7211272961931353E-4</v>
      </c>
      <c r="AR22" s="32">
        <f t="shared" si="44"/>
        <v>1487.8456484024678</v>
      </c>
      <c r="AS22" s="27">
        <f t="shared" si="45"/>
        <v>11.951547011757528</v>
      </c>
      <c r="AT22" s="36">
        <f t="shared" si="29"/>
        <v>3.4946716735698088E-2</v>
      </c>
      <c r="AU22" s="36">
        <f t="shared" si="46"/>
        <v>1.3068848249934135</v>
      </c>
    </row>
    <row r="23" spans="1:47" ht="15.75" thickBot="1">
      <c r="A23" s="46"/>
      <c r="B23" s="38">
        <f t="shared" si="47"/>
        <v>0.49999999999999994</v>
      </c>
      <c r="C23" s="38">
        <f t="shared" si="32"/>
        <v>8.333333333333332E-6</v>
      </c>
      <c r="D23" s="38">
        <f t="shared" si="33"/>
        <v>1.8847850000000006E-5</v>
      </c>
      <c r="E23" s="38">
        <f t="shared" si="34"/>
        <v>0.44213707841124211</v>
      </c>
      <c r="F23" s="38">
        <v>995</v>
      </c>
      <c r="G23" s="38">
        <v>8.1899999999999996E-4</v>
      </c>
      <c r="H23" s="38">
        <v>4158</v>
      </c>
      <c r="I23" s="38">
        <v>0.66</v>
      </c>
      <c r="J23" s="47">
        <f t="shared" si="9"/>
        <v>2632.0382488327359</v>
      </c>
      <c r="K23" s="38">
        <f t="shared" si="35"/>
        <v>8.2916666666666659E-3</v>
      </c>
      <c r="L23" s="39">
        <v>39.619999999999997</v>
      </c>
      <c r="M23" s="39">
        <v>30.79</v>
      </c>
      <c r="N23" s="39">
        <f t="shared" si="11"/>
        <v>8.8299999999999983</v>
      </c>
      <c r="O23" s="40">
        <f t="shared" si="36"/>
        <v>304.42970249999991</v>
      </c>
      <c r="P23" s="41">
        <v>5.5</v>
      </c>
      <c r="Q23" s="39">
        <f t="shared" si="37"/>
        <v>9.1666666666666668E-5</v>
      </c>
      <c r="R23" s="39">
        <v>22.14</v>
      </c>
      <c r="S23" s="39">
        <v>22.87</v>
      </c>
      <c r="T23" s="39">
        <f t="shared" si="14"/>
        <v>0.73000000000000043</v>
      </c>
      <c r="U23" s="39">
        <f t="shared" si="0"/>
        <v>12.257147002808018</v>
      </c>
      <c r="V23" s="39">
        <f t="shared" si="38"/>
        <v>6.3E-3</v>
      </c>
      <c r="W23" s="38">
        <f t="shared" si="39"/>
        <v>3.85E-2</v>
      </c>
      <c r="X23" s="38">
        <f t="shared" si="40"/>
        <v>3.2199999999999999E-2</v>
      </c>
      <c r="Y23" s="38">
        <f t="shared" si="41"/>
        <v>1.1324096E-3</v>
      </c>
      <c r="Z23" s="38">
        <f t="shared" si="1"/>
        <v>8.0948330592275686E-2</v>
      </c>
      <c r="AA23" s="38">
        <v>996</v>
      </c>
      <c r="AB23" s="38">
        <v>8.4500000000000005E-4</v>
      </c>
      <c r="AC23" s="38">
        <v>4181</v>
      </c>
      <c r="AD23" s="38">
        <v>0.61299999999999999</v>
      </c>
      <c r="AE23" s="38">
        <f t="shared" si="2"/>
        <v>3072.3196450780965</v>
      </c>
      <c r="AF23" s="38">
        <f t="shared" si="3"/>
        <v>9.1300000000000006E-2</v>
      </c>
      <c r="AG23" s="38">
        <f t="shared" si="19"/>
        <v>278.65946900000017</v>
      </c>
      <c r="AH23" s="38">
        <f t="shared" si="20"/>
        <v>8.4650851373478382</v>
      </c>
      <c r="AI23" s="38">
        <f t="shared" si="4"/>
        <v>24.836913714933612</v>
      </c>
      <c r="AJ23" s="38">
        <f t="shared" si="21"/>
        <v>1004.4247786850111</v>
      </c>
      <c r="AK23" s="38">
        <f t="shared" si="42"/>
        <v>9.955947137317699E-4</v>
      </c>
      <c r="AL23" s="26">
        <f t="shared" si="43"/>
        <v>23.254229666155162</v>
      </c>
      <c r="AM23" s="38">
        <v>54</v>
      </c>
      <c r="AN23" s="38">
        <f t="shared" si="24"/>
        <v>2262.6734579925578</v>
      </c>
      <c r="AO23" s="38">
        <f t="shared" si="25"/>
        <v>3.4374282998299793E-4</v>
      </c>
      <c r="AP23" s="26">
        <f t="shared" si="26"/>
        <v>2.2754031850022165E-5</v>
      </c>
      <c r="AQ23" s="38">
        <f t="shared" si="5"/>
        <v>6.290978518987499E-4</v>
      </c>
      <c r="AR23" s="38">
        <f t="shared" si="44"/>
        <v>1589.5778327358601</v>
      </c>
      <c r="AS23" s="27">
        <f t="shared" si="45"/>
        <v>12.76873996787822</v>
      </c>
      <c r="AT23" s="42">
        <f t="shared" si="29"/>
        <v>3.2710144385740277E-2</v>
      </c>
      <c r="AU23" s="42">
        <f t="shared" si="46"/>
        <v>1.2954105365880328</v>
      </c>
    </row>
    <row r="24" spans="1:47" ht="15.75" thickBot="1">
      <c r="A24" s="48" t="s">
        <v>57</v>
      </c>
      <c r="B24" s="30">
        <v>0.1</v>
      </c>
      <c r="C24" s="30">
        <f>B24/60000</f>
        <v>1.6666666666666667E-6</v>
      </c>
      <c r="D24" s="30">
        <f>(3.14/4)*(4.9/1000)*(4.9/1000)</f>
        <v>1.8847850000000006E-5</v>
      </c>
      <c r="E24" s="30">
        <f>C24/D24</f>
        <v>8.8427415682248434E-2</v>
      </c>
      <c r="F24" s="30">
        <v>998</v>
      </c>
      <c r="G24" s="30">
        <v>8.5499999999999997E-4</v>
      </c>
      <c r="H24" s="30">
        <v>4144</v>
      </c>
      <c r="I24" s="30">
        <v>0.67800000000000005</v>
      </c>
      <c r="J24" s="30">
        <f>F24*0.0049*E24/G24</f>
        <v>505.76344815126464</v>
      </c>
      <c r="K24" s="30">
        <f>F24*D24*E24</f>
        <v>1.6633333333333333E-3</v>
      </c>
      <c r="L24" s="49">
        <v>40.42</v>
      </c>
      <c r="M24" s="49">
        <v>27.47</v>
      </c>
      <c r="N24" s="44">
        <f t="shared" si="11"/>
        <v>12.950000000000003</v>
      </c>
      <c r="O24" s="50">
        <f>K24*H24*(L24-M24)</f>
        <v>89.26245066666668</v>
      </c>
      <c r="P24" s="51">
        <v>5.5</v>
      </c>
      <c r="Q24" s="49">
        <f>P24/60000</f>
        <v>9.1666666666666668E-5</v>
      </c>
      <c r="R24" s="49">
        <v>22.99</v>
      </c>
      <c r="S24" s="49">
        <v>23.22</v>
      </c>
      <c r="T24" s="27">
        <f t="shared" si="14"/>
        <v>0.23000000000000043</v>
      </c>
      <c r="U24" s="49">
        <f t="shared" si="0"/>
        <v>9.4552361430016454</v>
      </c>
      <c r="V24" s="49">
        <f>6.3/1000</f>
        <v>6.3E-3</v>
      </c>
      <c r="W24" s="30">
        <f>38.5/1000</f>
        <v>3.85E-2</v>
      </c>
      <c r="X24" s="30">
        <f>W24-V24</f>
        <v>3.2199999999999999E-2</v>
      </c>
      <c r="Y24" s="30">
        <f>3.14*(W24*W24-V24*V24)/4</f>
        <v>1.1324096E-3</v>
      </c>
      <c r="Z24" s="30">
        <f t="shared" si="1"/>
        <v>8.0948330592275686E-2</v>
      </c>
      <c r="AA24" s="26">
        <v>996</v>
      </c>
      <c r="AB24" s="26">
        <v>8.4500000000000005E-4</v>
      </c>
      <c r="AC24" s="26">
        <v>4181</v>
      </c>
      <c r="AD24" s="30">
        <v>0.61299999999999999</v>
      </c>
      <c r="AE24" s="30">
        <f t="shared" si="2"/>
        <v>3072.3196450780965</v>
      </c>
      <c r="AF24" s="30">
        <f t="shared" si="3"/>
        <v>9.1300000000000006E-2</v>
      </c>
      <c r="AG24" s="26">
        <f t="shared" si="19"/>
        <v>87.79681900000017</v>
      </c>
      <c r="AH24" s="26">
        <f t="shared" si="20"/>
        <v>1.6419352770624995</v>
      </c>
      <c r="AI24" s="30">
        <f t="shared" si="4"/>
        <v>9.440531078933958</v>
      </c>
      <c r="AJ24" s="26">
        <f t="shared" si="21"/>
        <v>381.78267430730801</v>
      </c>
      <c r="AK24" s="30">
        <f>1/AJ24</f>
        <v>2.6192912022903136E-3</v>
      </c>
      <c r="AL24" s="26">
        <f t="shared" si="43"/>
        <v>23.254229666155162</v>
      </c>
      <c r="AM24" s="30">
        <v>54</v>
      </c>
      <c r="AN24" s="30">
        <f t="shared" si="24"/>
        <v>2262.6734579925578</v>
      </c>
      <c r="AO24" s="30">
        <f t="shared" si="25"/>
        <v>3.4374282998299793E-4</v>
      </c>
      <c r="AP24" s="26">
        <f t="shared" si="26"/>
        <v>2.2754031850022165E-5</v>
      </c>
      <c r="AQ24" s="30">
        <f t="shared" si="5"/>
        <v>2.2527943404572937E-3</v>
      </c>
      <c r="AR24" s="30">
        <f>1/AQ24</f>
        <v>443.89316061447954</v>
      </c>
      <c r="AS24" s="49">
        <f>AR24*0.0049/0.64</f>
        <v>3.3985570109546086</v>
      </c>
      <c r="AT24" s="30">
        <f t="shared" si="29"/>
        <v>0.11713476357505755</v>
      </c>
      <c r="AU24" s="30">
        <f>AS24/AS6</f>
        <v>1.3416709652547814</v>
      </c>
    </row>
    <row r="25" spans="1:47" ht="15.75" thickBot="1">
      <c r="A25" s="11"/>
      <c r="B25" s="36">
        <f>B24+0.05</f>
        <v>0.15000000000000002</v>
      </c>
      <c r="C25" s="36">
        <f t="shared" ref="C25:C32" si="48">B25/60000</f>
        <v>2.5000000000000002E-6</v>
      </c>
      <c r="D25" s="36">
        <f t="shared" ref="D25:D32" si="49">(3.14/4)*(4.9/1000)*(4.9/1000)</f>
        <v>1.8847850000000006E-5</v>
      </c>
      <c r="E25" s="36">
        <f t="shared" ref="E25:E32" si="50">C25/D25</f>
        <v>0.13264112352337265</v>
      </c>
      <c r="F25" s="36">
        <v>998</v>
      </c>
      <c r="G25" s="36">
        <v>8.5499999999999997E-4</v>
      </c>
      <c r="H25" s="36">
        <v>4144</v>
      </c>
      <c r="I25" s="36">
        <v>0.67800000000000005</v>
      </c>
      <c r="J25" s="36">
        <f t="shared" ref="J25:J32" si="51">F25*0.0049*E25/G25</f>
        <v>758.64517222689699</v>
      </c>
      <c r="K25" s="36">
        <f t="shared" ref="K25:K32" si="52">F25*D25*E25</f>
        <v>2.4950000000000003E-3</v>
      </c>
      <c r="L25" s="52">
        <v>41.1</v>
      </c>
      <c r="M25" s="52">
        <v>28.48</v>
      </c>
      <c r="N25" s="33">
        <f t="shared" si="11"/>
        <v>12.620000000000001</v>
      </c>
      <c r="O25" s="53">
        <f t="shared" ref="O25:O32" si="53">K25*H25*(L25-M25)</f>
        <v>130.48171360000001</v>
      </c>
      <c r="P25" s="54">
        <v>5.5</v>
      </c>
      <c r="Q25" s="52">
        <f t="shared" ref="Q25:Q32" si="54">P25/60000</f>
        <v>9.1666666666666668E-5</v>
      </c>
      <c r="R25" s="52">
        <v>21.76</v>
      </c>
      <c r="S25" s="52">
        <v>22.09</v>
      </c>
      <c r="T25" s="33">
        <f t="shared" si="14"/>
        <v>0.32999999999999829</v>
      </c>
      <c r="U25" s="52">
        <f t="shared" si="0"/>
        <v>11.818705459177325</v>
      </c>
      <c r="V25" s="52">
        <f t="shared" ref="V25:V32" si="55">6.3/1000</f>
        <v>6.3E-3</v>
      </c>
      <c r="W25" s="36">
        <f t="shared" ref="W25:W32" si="56">38.5/1000</f>
        <v>3.85E-2</v>
      </c>
      <c r="X25" s="36">
        <f t="shared" ref="X25:X32" si="57">W25-V25</f>
        <v>3.2199999999999999E-2</v>
      </c>
      <c r="Y25" s="36">
        <f t="shared" ref="Y25:Y32" si="58">3.14*(W25*W25-V25*V25)/4</f>
        <v>1.1324096E-3</v>
      </c>
      <c r="Z25" s="36">
        <f t="shared" si="1"/>
        <v>8.0948330592275686E-2</v>
      </c>
      <c r="AA25" s="32">
        <v>996</v>
      </c>
      <c r="AB25" s="32">
        <v>8.4500000000000005E-4</v>
      </c>
      <c r="AC25" s="32">
        <v>4181</v>
      </c>
      <c r="AD25" s="36">
        <v>0.61299999999999999</v>
      </c>
      <c r="AE25" s="36">
        <f t="shared" si="2"/>
        <v>3072.3196450780965</v>
      </c>
      <c r="AF25" s="36">
        <f t="shared" si="3"/>
        <v>9.1300000000000006E-2</v>
      </c>
      <c r="AG25" s="32">
        <f t="shared" si="19"/>
        <v>125.96934899999935</v>
      </c>
      <c r="AH25" s="32">
        <f t="shared" si="20"/>
        <v>3.4582352388730824</v>
      </c>
      <c r="AI25" s="36">
        <f t="shared" si="4"/>
        <v>11.040271208271786</v>
      </c>
      <c r="AJ25" s="32">
        <f t="shared" si="21"/>
        <v>446.47745256381705</v>
      </c>
      <c r="AK25" s="36">
        <f t="shared" ref="AK25:AK32" si="59">1/AJ25</f>
        <v>2.2397547608679421E-3</v>
      </c>
      <c r="AL25" s="26">
        <f t="shared" si="43"/>
        <v>23.254229666155162</v>
      </c>
      <c r="AM25" s="36">
        <v>54</v>
      </c>
      <c r="AN25" s="36">
        <f t="shared" si="24"/>
        <v>2262.6734579925578</v>
      </c>
      <c r="AO25" s="36">
        <f t="shared" si="25"/>
        <v>3.4374282998299793E-4</v>
      </c>
      <c r="AP25" s="26">
        <f t="shared" si="26"/>
        <v>2.2754031850022165E-5</v>
      </c>
      <c r="AQ25" s="36">
        <f t="shared" si="5"/>
        <v>1.8732578990349219E-3</v>
      </c>
      <c r="AR25" s="36">
        <f t="shared" ref="AR25:AR32" si="60">1/AQ25</f>
        <v>533.82932511064655</v>
      </c>
      <c r="AS25" s="49">
        <f t="shared" ref="AS25:AS32" si="61">AR25*0.0049/0.64</f>
        <v>4.087130770378387</v>
      </c>
      <c r="AT25" s="36">
        <f t="shared" si="29"/>
        <v>9.7400644691793659E-2</v>
      </c>
      <c r="AU25" s="36">
        <f t="shared" ref="AU25:AU32" si="62">AS25/AS7</f>
        <v>1.2056192976585605</v>
      </c>
    </row>
    <row r="26" spans="1:47" ht="15.75" thickBot="1">
      <c r="A26" s="11"/>
      <c r="B26" s="36">
        <f t="shared" ref="B26:B32" si="63">B25+0.05</f>
        <v>0.2</v>
      </c>
      <c r="C26" s="36">
        <f t="shared" si="48"/>
        <v>3.3333333333333333E-6</v>
      </c>
      <c r="D26" s="36">
        <f t="shared" si="49"/>
        <v>1.8847850000000006E-5</v>
      </c>
      <c r="E26" s="36">
        <f t="shared" si="50"/>
        <v>0.17685483136449687</v>
      </c>
      <c r="F26" s="36">
        <v>998</v>
      </c>
      <c r="G26" s="36">
        <v>8.5499999999999997E-4</v>
      </c>
      <c r="H26" s="36">
        <v>4144</v>
      </c>
      <c r="I26" s="36">
        <v>0.67800000000000005</v>
      </c>
      <c r="J26" s="36">
        <f t="shared" si="51"/>
        <v>1011.5268963025293</v>
      </c>
      <c r="K26" s="36">
        <f t="shared" si="52"/>
        <v>3.3266666666666666E-3</v>
      </c>
      <c r="L26" s="52">
        <v>40.98</v>
      </c>
      <c r="M26" s="52">
        <v>28.75</v>
      </c>
      <c r="N26" s="33">
        <f t="shared" si="11"/>
        <v>12.229999999999997</v>
      </c>
      <c r="O26" s="53">
        <f t="shared" si="53"/>
        <v>168.59919253333328</v>
      </c>
      <c r="P26" s="54">
        <v>5.5</v>
      </c>
      <c r="Q26" s="52">
        <f t="shared" si="54"/>
        <v>9.1666666666666668E-5</v>
      </c>
      <c r="R26" s="52">
        <v>21.28</v>
      </c>
      <c r="S26" s="52">
        <v>21.69</v>
      </c>
      <c r="T26" s="33">
        <f t="shared" si="14"/>
        <v>0.41000000000000014</v>
      </c>
      <c r="U26" s="52">
        <f t="shared" si="0"/>
        <v>12.459261958383127</v>
      </c>
      <c r="V26" s="52">
        <f t="shared" si="55"/>
        <v>6.3E-3</v>
      </c>
      <c r="W26" s="36">
        <f t="shared" si="56"/>
        <v>3.85E-2</v>
      </c>
      <c r="X26" s="36">
        <f t="shared" si="57"/>
        <v>3.2199999999999999E-2</v>
      </c>
      <c r="Y26" s="36">
        <f t="shared" si="58"/>
        <v>1.1324096E-3</v>
      </c>
      <c r="Z26" s="36">
        <f t="shared" si="1"/>
        <v>8.0948330592275686E-2</v>
      </c>
      <c r="AA26" s="32">
        <v>996</v>
      </c>
      <c r="AB26" s="32">
        <v>8.4500000000000005E-4</v>
      </c>
      <c r="AC26" s="32">
        <v>4181</v>
      </c>
      <c r="AD26" s="36">
        <v>0.61299999999999999</v>
      </c>
      <c r="AE26" s="36">
        <f t="shared" si="2"/>
        <v>3072.3196450780965</v>
      </c>
      <c r="AF26" s="36">
        <f t="shared" si="3"/>
        <v>9.1300000000000006E-2</v>
      </c>
      <c r="AG26" s="32">
        <f t="shared" si="19"/>
        <v>156.50737300000006</v>
      </c>
      <c r="AH26" s="32">
        <f t="shared" si="20"/>
        <v>7.1719320547413545</v>
      </c>
      <c r="AI26" s="36">
        <f t="shared" si="4"/>
        <v>13.532036897249158</v>
      </c>
      <c r="AJ26" s="32">
        <f t="shared" si="21"/>
        <v>547.24646232935629</v>
      </c>
      <c r="AK26" s="36">
        <f t="shared" si="59"/>
        <v>1.8273302229191155E-3</v>
      </c>
      <c r="AL26" s="26">
        <f t="shared" si="43"/>
        <v>23.254229666155162</v>
      </c>
      <c r="AM26" s="36">
        <v>54</v>
      </c>
      <c r="AN26" s="36">
        <f t="shared" si="24"/>
        <v>2262.6734579925578</v>
      </c>
      <c r="AO26" s="36">
        <f t="shared" si="25"/>
        <v>3.4374282998299793E-4</v>
      </c>
      <c r="AP26" s="26">
        <f t="shared" si="26"/>
        <v>2.2754031850022165E-5</v>
      </c>
      <c r="AQ26" s="36">
        <f t="shared" si="5"/>
        <v>1.4608333610860954E-3</v>
      </c>
      <c r="AR26" s="36">
        <f t="shared" si="60"/>
        <v>684.54077421706972</v>
      </c>
      <c r="AS26" s="49">
        <f t="shared" si="61"/>
        <v>5.2410153025994397</v>
      </c>
      <c r="AT26" s="36">
        <f t="shared" si="29"/>
        <v>7.5956498691594723E-2</v>
      </c>
      <c r="AU26" s="36">
        <f t="shared" si="62"/>
        <v>1.1808033654672507</v>
      </c>
    </row>
    <row r="27" spans="1:47" ht="15.75" thickBot="1">
      <c r="A27" s="11"/>
      <c r="B27" s="36">
        <f t="shared" si="63"/>
        <v>0.25</v>
      </c>
      <c r="C27" s="36">
        <f t="shared" si="48"/>
        <v>4.1666666666666669E-6</v>
      </c>
      <c r="D27" s="36">
        <f t="shared" si="49"/>
        <v>1.8847850000000006E-5</v>
      </c>
      <c r="E27" s="36">
        <f t="shared" si="50"/>
        <v>0.22106853920562108</v>
      </c>
      <c r="F27" s="36">
        <v>998</v>
      </c>
      <c r="G27" s="36">
        <v>8.5499999999999997E-4</v>
      </c>
      <c r="H27" s="36">
        <v>4144</v>
      </c>
      <c r="I27" s="36">
        <v>0.67800000000000005</v>
      </c>
      <c r="J27" s="36">
        <f t="shared" si="51"/>
        <v>1264.4086203781617</v>
      </c>
      <c r="K27" s="36">
        <f t="shared" si="52"/>
        <v>4.1583333333333333E-3</v>
      </c>
      <c r="L27" s="52">
        <v>41.05</v>
      </c>
      <c r="M27" s="52">
        <v>29.09</v>
      </c>
      <c r="N27" s="33">
        <f t="shared" si="11"/>
        <v>11.959999999999997</v>
      </c>
      <c r="O27" s="53">
        <f t="shared" si="53"/>
        <v>206.09631466666661</v>
      </c>
      <c r="P27" s="54">
        <v>5.5</v>
      </c>
      <c r="Q27" s="52">
        <f t="shared" si="54"/>
        <v>9.1666666666666668E-5</v>
      </c>
      <c r="R27" s="52">
        <v>21.37</v>
      </c>
      <c r="S27" s="52">
        <v>21.88</v>
      </c>
      <c r="T27" s="33">
        <f t="shared" si="14"/>
        <v>0.50999999999999801</v>
      </c>
      <c r="U27" s="52">
        <f t="shared" si="0"/>
        <v>12.588889198050946</v>
      </c>
      <c r="V27" s="52">
        <f t="shared" si="55"/>
        <v>6.3E-3</v>
      </c>
      <c r="W27" s="36">
        <f t="shared" si="56"/>
        <v>3.85E-2</v>
      </c>
      <c r="X27" s="36">
        <f t="shared" si="57"/>
        <v>3.2199999999999999E-2</v>
      </c>
      <c r="Y27" s="36">
        <f t="shared" si="58"/>
        <v>1.1324096E-3</v>
      </c>
      <c r="Z27" s="36">
        <f t="shared" si="1"/>
        <v>8.0948330592275686E-2</v>
      </c>
      <c r="AA27" s="32">
        <v>996</v>
      </c>
      <c r="AB27" s="32">
        <v>8.4500000000000005E-4</v>
      </c>
      <c r="AC27" s="32">
        <v>4181</v>
      </c>
      <c r="AD27" s="36">
        <v>0.61299999999999999</v>
      </c>
      <c r="AE27" s="36">
        <f t="shared" si="2"/>
        <v>3072.3196450780965</v>
      </c>
      <c r="AF27" s="36">
        <f t="shared" si="3"/>
        <v>9.1300000000000006E-2</v>
      </c>
      <c r="AG27" s="32">
        <f t="shared" si="19"/>
        <v>194.67990299999923</v>
      </c>
      <c r="AH27" s="32">
        <f t="shared" si="20"/>
        <v>5.5393575014341785</v>
      </c>
      <c r="AI27" s="36">
        <f t="shared" si="4"/>
        <v>16.371286729457839</v>
      </c>
      <c r="AJ27" s="32">
        <f t="shared" si="21"/>
        <v>662.06801049268381</v>
      </c>
      <c r="AK27" s="36">
        <f t="shared" si="59"/>
        <v>1.5104188454232081E-3</v>
      </c>
      <c r="AL27" s="26">
        <f t="shared" si="43"/>
        <v>23.254229666155162</v>
      </c>
      <c r="AM27" s="36">
        <v>54</v>
      </c>
      <c r="AN27" s="36">
        <f t="shared" si="24"/>
        <v>2262.6734579925578</v>
      </c>
      <c r="AO27" s="36">
        <f t="shared" si="25"/>
        <v>3.4374282998299793E-4</v>
      </c>
      <c r="AP27" s="26">
        <f t="shared" si="26"/>
        <v>2.2754031850022165E-5</v>
      </c>
      <c r="AQ27" s="36">
        <f t="shared" si="5"/>
        <v>1.143921983590188E-3</v>
      </c>
      <c r="AR27" s="36">
        <f t="shared" si="60"/>
        <v>874.1854902215531</v>
      </c>
      <c r="AS27" s="49">
        <f t="shared" si="61"/>
        <v>6.6929826595087656</v>
      </c>
      <c r="AT27" s="36">
        <f t="shared" si="29"/>
        <v>5.9478590073583165E-2</v>
      </c>
      <c r="AU27" s="36">
        <f t="shared" si="62"/>
        <v>1.4364875818658978</v>
      </c>
    </row>
    <row r="28" spans="1:47" ht="15.75" thickBot="1">
      <c r="A28" s="11"/>
      <c r="B28" s="36">
        <f t="shared" si="63"/>
        <v>0.3</v>
      </c>
      <c r="C28" s="36">
        <f t="shared" si="48"/>
        <v>4.9999999999999996E-6</v>
      </c>
      <c r="D28" s="36">
        <f t="shared" si="49"/>
        <v>1.8847850000000006E-5</v>
      </c>
      <c r="E28" s="36">
        <f t="shared" si="50"/>
        <v>0.2652822470467453</v>
      </c>
      <c r="F28" s="36">
        <v>998</v>
      </c>
      <c r="G28" s="36">
        <v>8.5499999999999997E-4</v>
      </c>
      <c r="H28" s="36">
        <v>4144</v>
      </c>
      <c r="I28" s="36">
        <v>0.67800000000000005</v>
      </c>
      <c r="J28" s="36">
        <f t="shared" si="51"/>
        <v>1517.290344453794</v>
      </c>
      <c r="K28" s="36">
        <f t="shared" si="52"/>
        <v>4.9900000000000005E-3</v>
      </c>
      <c r="L28" s="52">
        <v>40.590000000000003</v>
      </c>
      <c r="M28" s="52">
        <v>29.91</v>
      </c>
      <c r="N28" s="33">
        <f t="shared" si="11"/>
        <v>10.680000000000003</v>
      </c>
      <c r="O28" s="53">
        <f t="shared" si="53"/>
        <v>220.84702080000008</v>
      </c>
      <c r="P28" s="54">
        <v>5.5</v>
      </c>
      <c r="Q28" s="52">
        <f t="shared" si="54"/>
        <v>9.1666666666666668E-5</v>
      </c>
      <c r="R28" s="52">
        <v>21.38</v>
      </c>
      <c r="S28" s="52">
        <v>21.95</v>
      </c>
      <c r="T28" s="33">
        <f t="shared" si="14"/>
        <v>0.57000000000000028</v>
      </c>
      <c r="U28" s="52">
        <f t="shared" si="0"/>
        <v>12.9330120876963</v>
      </c>
      <c r="V28" s="52">
        <f t="shared" si="55"/>
        <v>6.3E-3</v>
      </c>
      <c r="W28" s="36">
        <f t="shared" si="56"/>
        <v>3.85E-2</v>
      </c>
      <c r="X28" s="36">
        <f t="shared" si="57"/>
        <v>3.2199999999999999E-2</v>
      </c>
      <c r="Y28" s="36">
        <f t="shared" si="58"/>
        <v>1.1324096E-3</v>
      </c>
      <c r="Z28" s="36">
        <f t="shared" si="1"/>
        <v>8.0948330592275686E-2</v>
      </c>
      <c r="AA28" s="32">
        <v>996</v>
      </c>
      <c r="AB28" s="32">
        <v>8.4500000000000005E-4</v>
      </c>
      <c r="AC28" s="32">
        <v>4181</v>
      </c>
      <c r="AD28" s="36">
        <v>0.61299999999999999</v>
      </c>
      <c r="AE28" s="36">
        <f t="shared" si="2"/>
        <v>3072.3196450780965</v>
      </c>
      <c r="AF28" s="36">
        <f t="shared" si="3"/>
        <v>9.1300000000000006E-2</v>
      </c>
      <c r="AG28" s="32">
        <f t="shared" si="19"/>
        <v>217.5834210000001</v>
      </c>
      <c r="AH28" s="32">
        <f t="shared" si="20"/>
        <v>1.4777649198879206</v>
      </c>
      <c r="AI28" s="36">
        <f t="shared" si="4"/>
        <v>17.076224726496687</v>
      </c>
      <c r="AJ28" s="32">
        <f t="shared" si="21"/>
        <v>690.57627040730711</v>
      </c>
      <c r="AK28" s="36">
        <f t="shared" si="59"/>
        <v>1.4480659745377473E-3</v>
      </c>
      <c r="AL28" s="26">
        <f t="shared" si="43"/>
        <v>23.254229666155162</v>
      </c>
      <c r="AM28" s="36">
        <v>54</v>
      </c>
      <c r="AN28" s="36">
        <f t="shared" si="24"/>
        <v>2262.6734579925578</v>
      </c>
      <c r="AO28" s="36">
        <f t="shared" si="25"/>
        <v>3.4374282998299793E-4</v>
      </c>
      <c r="AP28" s="26">
        <f t="shared" si="26"/>
        <v>2.2754031850022165E-5</v>
      </c>
      <c r="AQ28" s="36">
        <f t="shared" si="5"/>
        <v>1.0815691127047272E-3</v>
      </c>
      <c r="AR28" s="36">
        <f t="shared" si="60"/>
        <v>924.58261636120164</v>
      </c>
      <c r="AS28" s="49">
        <f t="shared" si="61"/>
        <v>7.0788356565154498</v>
      </c>
      <c r="AT28" s="36">
        <f t="shared" si="29"/>
        <v>5.6236532572714264E-2</v>
      </c>
      <c r="AU28" s="36">
        <f t="shared" si="62"/>
        <v>1.2090294939697974</v>
      </c>
    </row>
    <row r="29" spans="1:47" ht="15.75" thickBot="1">
      <c r="A29" s="11"/>
      <c r="B29" s="36">
        <f t="shared" si="63"/>
        <v>0.35</v>
      </c>
      <c r="C29" s="36">
        <f t="shared" si="48"/>
        <v>5.8333333333333331E-6</v>
      </c>
      <c r="D29" s="36">
        <f t="shared" si="49"/>
        <v>1.8847850000000006E-5</v>
      </c>
      <c r="E29" s="36">
        <f t="shared" si="50"/>
        <v>0.30949595488786952</v>
      </c>
      <c r="F29" s="36">
        <v>998</v>
      </c>
      <c r="G29" s="36">
        <v>8.5499999999999997E-4</v>
      </c>
      <c r="H29" s="36">
        <v>4144</v>
      </c>
      <c r="I29" s="36">
        <v>0.67800000000000005</v>
      </c>
      <c r="J29" s="36">
        <f t="shared" si="51"/>
        <v>1770.1720685294265</v>
      </c>
      <c r="K29" s="36">
        <f t="shared" si="52"/>
        <v>5.8216666666666668E-3</v>
      </c>
      <c r="L29" s="52">
        <v>40.020000000000003</v>
      </c>
      <c r="M29" s="52">
        <v>30.18</v>
      </c>
      <c r="N29" s="33">
        <f t="shared" si="11"/>
        <v>9.8400000000000034</v>
      </c>
      <c r="O29" s="53">
        <f t="shared" si="53"/>
        <v>237.3898688000001</v>
      </c>
      <c r="P29" s="54">
        <v>5.5</v>
      </c>
      <c r="Q29" s="52">
        <f t="shared" si="54"/>
        <v>9.1666666666666668E-5</v>
      </c>
      <c r="R29" s="52">
        <v>22.01</v>
      </c>
      <c r="S29" s="52">
        <v>22.59</v>
      </c>
      <c r="T29" s="33">
        <f t="shared" si="14"/>
        <v>0.57999999999999829</v>
      </c>
      <c r="U29" s="52">
        <f t="shared" si="0"/>
        <v>12.220809427937503</v>
      </c>
      <c r="V29" s="52">
        <f t="shared" si="55"/>
        <v>6.3E-3</v>
      </c>
      <c r="W29" s="36">
        <f t="shared" si="56"/>
        <v>3.85E-2</v>
      </c>
      <c r="X29" s="36">
        <f t="shared" si="57"/>
        <v>3.2199999999999999E-2</v>
      </c>
      <c r="Y29" s="36">
        <f t="shared" si="58"/>
        <v>1.1324096E-3</v>
      </c>
      <c r="Z29" s="36">
        <f t="shared" si="1"/>
        <v>8.0948330592275686E-2</v>
      </c>
      <c r="AA29" s="32">
        <v>996</v>
      </c>
      <c r="AB29" s="32">
        <v>8.4500000000000005E-4</v>
      </c>
      <c r="AC29" s="32">
        <v>4181</v>
      </c>
      <c r="AD29" s="36">
        <v>0.61299999999999999</v>
      </c>
      <c r="AE29" s="36">
        <f t="shared" si="2"/>
        <v>3072.3196450780965</v>
      </c>
      <c r="AF29" s="36">
        <f t="shared" si="3"/>
        <v>9.1300000000000006E-2</v>
      </c>
      <c r="AG29" s="32">
        <f t="shared" si="19"/>
        <v>221.40067399999936</v>
      </c>
      <c r="AH29" s="32">
        <f t="shared" si="20"/>
        <v>6.7354158291698498</v>
      </c>
      <c r="AI29" s="36">
        <f t="shared" si="4"/>
        <v>19.425052833023695</v>
      </c>
      <c r="AJ29" s="32">
        <f t="shared" si="21"/>
        <v>785.56476930638746</v>
      </c>
      <c r="AK29" s="36">
        <f t="shared" si="59"/>
        <v>1.2729695106909486E-3</v>
      </c>
      <c r="AL29" s="26">
        <f t="shared" si="43"/>
        <v>23.254229666155162</v>
      </c>
      <c r="AM29" s="36">
        <v>54</v>
      </c>
      <c r="AN29" s="36">
        <f t="shared" si="24"/>
        <v>2262.6734579925578</v>
      </c>
      <c r="AO29" s="36">
        <f t="shared" si="25"/>
        <v>3.4374282998299793E-4</v>
      </c>
      <c r="AP29" s="26">
        <f t="shared" si="26"/>
        <v>2.2754031850022165E-5</v>
      </c>
      <c r="AQ29" s="36">
        <f t="shared" si="5"/>
        <v>9.0647264885792861E-4</v>
      </c>
      <c r="AR29" s="36">
        <f t="shared" si="60"/>
        <v>1103.1772456233591</v>
      </c>
      <c r="AS29" s="49">
        <f t="shared" si="61"/>
        <v>8.4462007868038427</v>
      </c>
      <c r="AT29" s="36">
        <f t="shared" si="29"/>
        <v>4.7132335830387548E-2</v>
      </c>
      <c r="AU29" s="36">
        <f t="shared" si="62"/>
        <v>1.1223485422443578</v>
      </c>
    </row>
    <row r="30" spans="1:47" ht="15.75" thickBot="1">
      <c r="A30" s="11"/>
      <c r="B30" s="36">
        <f t="shared" si="63"/>
        <v>0.39999999999999997</v>
      </c>
      <c r="C30" s="36">
        <f t="shared" si="48"/>
        <v>6.6666666666666658E-6</v>
      </c>
      <c r="D30" s="36">
        <f t="shared" si="49"/>
        <v>1.8847850000000006E-5</v>
      </c>
      <c r="E30" s="36">
        <f t="shared" si="50"/>
        <v>0.35370966272899368</v>
      </c>
      <c r="F30" s="36">
        <v>998</v>
      </c>
      <c r="G30" s="36">
        <v>8.5499999999999997E-4</v>
      </c>
      <c r="H30" s="36">
        <v>4144</v>
      </c>
      <c r="I30" s="36">
        <v>0.67800000000000005</v>
      </c>
      <c r="J30" s="36">
        <f t="shared" si="51"/>
        <v>2023.0537926050583</v>
      </c>
      <c r="K30" s="36">
        <f t="shared" si="52"/>
        <v>6.6533333333333323E-3</v>
      </c>
      <c r="L30" s="52">
        <v>39.82</v>
      </c>
      <c r="M30" s="52">
        <v>30.27</v>
      </c>
      <c r="N30" s="33">
        <f t="shared" si="11"/>
        <v>9.5500000000000007</v>
      </c>
      <c r="O30" s="53">
        <f t="shared" si="53"/>
        <v>263.3069973333333</v>
      </c>
      <c r="P30" s="54">
        <v>5.5</v>
      </c>
      <c r="Q30" s="52">
        <f t="shared" si="54"/>
        <v>9.1666666666666668E-5</v>
      </c>
      <c r="R30" s="52">
        <v>22.03</v>
      </c>
      <c r="S30" s="52">
        <v>22.71</v>
      </c>
      <c r="T30" s="33">
        <f t="shared" si="14"/>
        <v>0.67999999999999972</v>
      </c>
      <c r="U30" s="52">
        <f t="shared" si="0"/>
        <v>12.139663713591165</v>
      </c>
      <c r="V30" s="52">
        <f t="shared" si="55"/>
        <v>6.3E-3</v>
      </c>
      <c r="W30" s="36">
        <f t="shared" si="56"/>
        <v>3.85E-2</v>
      </c>
      <c r="X30" s="36">
        <f t="shared" si="57"/>
        <v>3.2199999999999999E-2</v>
      </c>
      <c r="Y30" s="36">
        <f t="shared" si="58"/>
        <v>1.1324096E-3</v>
      </c>
      <c r="Z30" s="36">
        <f t="shared" si="1"/>
        <v>8.0948330592275686E-2</v>
      </c>
      <c r="AA30" s="32">
        <v>996</v>
      </c>
      <c r="AB30" s="32">
        <v>8.4500000000000005E-4</v>
      </c>
      <c r="AC30" s="32">
        <v>4181</v>
      </c>
      <c r="AD30" s="36">
        <v>0.61299999999999999</v>
      </c>
      <c r="AE30" s="36">
        <f t="shared" si="2"/>
        <v>3072.3196450780965</v>
      </c>
      <c r="AF30" s="36">
        <f t="shared" si="3"/>
        <v>9.1300000000000006E-2</v>
      </c>
      <c r="AG30" s="32">
        <f t="shared" si="19"/>
        <v>259.57320399999992</v>
      </c>
      <c r="AH30" s="32">
        <f t="shared" si="20"/>
        <v>1.4180380206936118</v>
      </c>
      <c r="AI30" s="36">
        <f t="shared" si="4"/>
        <v>21.689809828796452</v>
      </c>
      <c r="AJ30" s="32">
        <f t="shared" si="21"/>
        <v>877.15336482848863</v>
      </c>
      <c r="AK30" s="36">
        <f t="shared" si="59"/>
        <v>1.1400514893943681E-3</v>
      </c>
      <c r="AL30" s="26">
        <f t="shared" si="43"/>
        <v>23.254229666155162</v>
      </c>
      <c r="AM30" s="36">
        <v>54</v>
      </c>
      <c r="AN30" s="36">
        <f t="shared" si="24"/>
        <v>2262.6734579925578</v>
      </c>
      <c r="AO30" s="36">
        <f t="shared" si="25"/>
        <v>3.4374282998299793E-4</v>
      </c>
      <c r="AP30" s="26">
        <f t="shared" si="26"/>
        <v>2.2754031850022165E-5</v>
      </c>
      <c r="AQ30" s="36">
        <f t="shared" si="5"/>
        <v>7.7355462756134813E-4</v>
      </c>
      <c r="AR30" s="36">
        <f t="shared" si="60"/>
        <v>1292.7335243957198</v>
      </c>
      <c r="AS30" s="49">
        <f t="shared" si="61"/>
        <v>9.8974910461547285</v>
      </c>
      <c r="AT30" s="36">
        <f t="shared" si="29"/>
        <v>4.0221220723325006E-2</v>
      </c>
      <c r="AU30" s="36">
        <f t="shared" si="62"/>
        <v>1.2406844092636655</v>
      </c>
    </row>
    <row r="31" spans="1:47" ht="15.75" thickBot="1">
      <c r="A31" s="11"/>
      <c r="B31" s="36">
        <f t="shared" si="63"/>
        <v>0.44999999999999996</v>
      </c>
      <c r="C31" s="36">
        <f t="shared" si="48"/>
        <v>7.4999999999999993E-6</v>
      </c>
      <c r="D31" s="36">
        <f t="shared" si="49"/>
        <v>1.8847850000000006E-5</v>
      </c>
      <c r="E31" s="36">
        <f t="shared" si="50"/>
        <v>0.3979233705701179</v>
      </c>
      <c r="F31" s="36">
        <v>998</v>
      </c>
      <c r="G31" s="36">
        <v>8.5499999999999997E-4</v>
      </c>
      <c r="H31" s="36">
        <v>4144</v>
      </c>
      <c r="I31" s="36">
        <v>0.67800000000000005</v>
      </c>
      <c r="J31" s="36">
        <f t="shared" si="51"/>
        <v>2275.9355166806909</v>
      </c>
      <c r="K31" s="36">
        <f t="shared" si="52"/>
        <v>7.4849999999999995E-3</v>
      </c>
      <c r="L31" s="52">
        <v>39.67</v>
      </c>
      <c r="M31" s="52">
        <v>30.28</v>
      </c>
      <c r="N31" s="33">
        <f t="shared" si="11"/>
        <v>9.39</v>
      </c>
      <c r="O31" s="53">
        <f t="shared" si="53"/>
        <v>291.25751759999997</v>
      </c>
      <c r="P31" s="54">
        <v>5.5</v>
      </c>
      <c r="Q31" s="52">
        <f t="shared" si="54"/>
        <v>9.1666666666666668E-5</v>
      </c>
      <c r="R31" s="52">
        <v>21.93</v>
      </c>
      <c r="S31" s="52">
        <v>22.669999999999998</v>
      </c>
      <c r="T31" s="33">
        <f t="shared" si="14"/>
        <v>0.73999999999999844</v>
      </c>
      <c r="U31" s="52">
        <f t="shared" si="0"/>
        <v>12.166788151900553</v>
      </c>
      <c r="V31" s="52">
        <f t="shared" si="55"/>
        <v>6.3E-3</v>
      </c>
      <c r="W31" s="36">
        <f t="shared" si="56"/>
        <v>3.85E-2</v>
      </c>
      <c r="X31" s="36">
        <f t="shared" si="57"/>
        <v>3.2199999999999999E-2</v>
      </c>
      <c r="Y31" s="36">
        <f t="shared" si="58"/>
        <v>1.1324096E-3</v>
      </c>
      <c r="Z31" s="36">
        <f t="shared" si="1"/>
        <v>8.0948330592275686E-2</v>
      </c>
      <c r="AA31" s="32">
        <v>996</v>
      </c>
      <c r="AB31" s="32">
        <v>8.4500000000000005E-4</v>
      </c>
      <c r="AC31" s="32">
        <v>4181</v>
      </c>
      <c r="AD31" s="36">
        <v>0.61299999999999999</v>
      </c>
      <c r="AE31" s="36">
        <f t="shared" si="2"/>
        <v>3072.3196450780965</v>
      </c>
      <c r="AF31" s="36">
        <f t="shared" si="3"/>
        <v>9.1300000000000006E-2</v>
      </c>
      <c r="AG31" s="32">
        <f t="shared" si="19"/>
        <v>282.47672199999943</v>
      </c>
      <c r="AH31" s="32">
        <f t="shared" si="20"/>
        <v>3.0147876258629984</v>
      </c>
      <c r="AI31" s="36">
        <f t="shared" si="4"/>
        <v>23.938735018946076</v>
      </c>
      <c r="AJ31" s="32">
        <f t="shared" si="21"/>
        <v>968.10170939019622</v>
      </c>
      <c r="AK31" s="36">
        <f t="shared" si="59"/>
        <v>1.0329493175153016E-3</v>
      </c>
      <c r="AL31" s="26">
        <f t="shared" si="43"/>
        <v>23.254229666155162</v>
      </c>
      <c r="AM31" s="36">
        <v>54</v>
      </c>
      <c r="AN31" s="36">
        <f t="shared" si="24"/>
        <v>2262.6734579925578</v>
      </c>
      <c r="AO31" s="36">
        <f t="shared" si="25"/>
        <v>3.4374282998299793E-4</v>
      </c>
      <c r="AP31" s="26">
        <f t="shared" si="26"/>
        <v>2.2754031850022165E-5</v>
      </c>
      <c r="AQ31" s="36">
        <f t="shared" si="5"/>
        <v>6.6645245568228162E-4</v>
      </c>
      <c r="AR31" s="36">
        <f t="shared" si="60"/>
        <v>1500.4821296310606</v>
      </c>
      <c r="AS31" s="49">
        <f t="shared" si="61"/>
        <v>11.488066304987807</v>
      </c>
      <c r="AT31" s="36">
        <f t="shared" si="29"/>
        <v>3.4652408978670571E-2</v>
      </c>
      <c r="AU31" s="36">
        <f t="shared" si="62"/>
        <v>1.2562038627917265</v>
      </c>
    </row>
    <row r="32" spans="1:47" ht="15.75" thickBot="1">
      <c r="A32" s="46"/>
      <c r="B32" s="42">
        <f t="shared" si="63"/>
        <v>0.49999999999999994</v>
      </c>
      <c r="C32" s="42">
        <f t="shared" si="48"/>
        <v>8.333333333333332E-6</v>
      </c>
      <c r="D32" s="42">
        <f t="shared" si="49"/>
        <v>1.8847850000000006E-5</v>
      </c>
      <c r="E32" s="42">
        <f t="shared" si="50"/>
        <v>0.44213707841124211</v>
      </c>
      <c r="F32" s="42">
        <v>998</v>
      </c>
      <c r="G32" s="42">
        <v>8.5499999999999997E-4</v>
      </c>
      <c r="H32" s="42">
        <v>4144</v>
      </c>
      <c r="I32" s="42">
        <v>0.67800000000000005</v>
      </c>
      <c r="J32" s="42">
        <f t="shared" si="51"/>
        <v>2528.8172407563229</v>
      </c>
      <c r="K32" s="42">
        <f t="shared" si="52"/>
        <v>8.3166666666666667E-3</v>
      </c>
      <c r="L32" s="55">
        <v>39.909999999999997</v>
      </c>
      <c r="M32" s="55">
        <v>30.87</v>
      </c>
      <c r="N32" s="39">
        <f>L32-M32</f>
        <v>9.0399999999999956</v>
      </c>
      <c r="O32" s="56">
        <f t="shared" si="53"/>
        <v>311.55697066666653</v>
      </c>
      <c r="P32" s="57">
        <v>5.5</v>
      </c>
      <c r="Q32" s="55">
        <f t="shared" si="54"/>
        <v>9.1666666666666668E-5</v>
      </c>
      <c r="R32" s="55">
        <v>22.05</v>
      </c>
      <c r="S32" s="55">
        <v>22.84</v>
      </c>
      <c r="T32" s="39">
        <f t="shared" si="14"/>
        <v>0.78999999999999915</v>
      </c>
      <c r="U32" s="55">
        <f t="shared" si="0"/>
        <v>12.494308146220872</v>
      </c>
      <c r="V32" s="55">
        <f t="shared" si="55"/>
        <v>6.3E-3</v>
      </c>
      <c r="W32" s="42">
        <f t="shared" si="56"/>
        <v>3.85E-2</v>
      </c>
      <c r="X32" s="42">
        <f t="shared" si="57"/>
        <v>3.2199999999999999E-2</v>
      </c>
      <c r="Y32" s="42">
        <f t="shared" si="58"/>
        <v>1.1324096E-3</v>
      </c>
      <c r="Z32" s="42">
        <f t="shared" si="1"/>
        <v>8.0948330592275686E-2</v>
      </c>
      <c r="AA32" s="38">
        <v>996</v>
      </c>
      <c r="AB32" s="38">
        <v>8.4500000000000005E-4</v>
      </c>
      <c r="AC32" s="38">
        <v>4181</v>
      </c>
      <c r="AD32" s="42">
        <v>0.61299999999999999</v>
      </c>
      <c r="AE32" s="42">
        <f t="shared" si="2"/>
        <v>3072.3196450780965</v>
      </c>
      <c r="AF32" s="42">
        <f t="shared" si="3"/>
        <v>9.1300000000000006E-2</v>
      </c>
      <c r="AG32" s="38">
        <f t="shared" si="19"/>
        <v>301.56298699999968</v>
      </c>
      <c r="AH32" s="38">
        <f t="shared" si="20"/>
        <v>3.2077547953049552</v>
      </c>
      <c r="AI32" s="42">
        <f t="shared" si="4"/>
        <v>24.935912178610909</v>
      </c>
      <c r="AJ32" s="38">
        <f t="shared" si="21"/>
        <v>1008.4283562273141</v>
      </c>
      <c r="AK32" s="42">
        <f t="shared" si="59"/>
        <v>9.9164208723875446E-4</v>
      </c>
      <c r="AL32" s="26">
        <f t="shared" si="43"/>
        <v>23.254229666155162</v>
      </c>
      <c r="AM32" s="42">
        <v>54</v>
      </c>
      <c r="AN32" s="42">
        <f t="shared" si="24"/>
        <v>2262.6734579925578</v>
      </c>
      <c r="AO32" s="42">
        <f t="shared" si="25"/>
        <v>3.4374282998299793E-4</v>
      </c>
      <c r="AP32" s="26">
        <f t="shared" si="26"/>
        <v>2.2754031850022165E-5</v>
      </c>
      <c r="AQ32" s="42">
        <f t="shared" si="5"/>
        <v>6.2514522540573446E-4</v>
      </c>
      <c r="AR32" s="42">
        <f t="shared" si="60"/>
        <v>1599.6283093276056</v>
      </c>
      <c r="AS32" s="49">
        <f t="shared" si="61"/>
        <v>12.247154243289481</v>
      </c>
      <c r="AT32" s="42">
        <f t="shared" si="29"/>
        <v>3.250462630473077E-2</v>
      </c>
      <c r="AU32" s="42">
        <f t="shared" si="62"/>
        <v>1.2424947715974461</v>
      </c>
    </row>
    <row r="33" spans="1:47" ht="15.75" thickBot="1">
      <c r="A33" s="48" t="s">
        <v>58</v>
      </c>
      <c r="B33" s="58">
        <v>0.1</v>
      </c>
      <c r="C33" s="26">
        <f>B33/60000</f>
        <v>1.6666666666666667E-6</v>
      </c>
      <c r="D33" s="26">
        <f>(3.14/4)*(4.9/1000)*(4.9/1000)</f>
        <v>1.8847850000000006E-5</v>
      </c>
      <c r="E33" s="26">
        <f>C33/D33</f>
        <v>8.8427415682248434E-2</v>
      </c>
      <c r="F33" s="26">
        <v>1000</v>
      </c>
      <c r="G33" s="59">
        <v>8.8199999999999997E-4</v>
      </c>
      <c r="H33" s="26">
        <v>4110</v>
      </c>
      <c r="I33" s="26">
        <v>0.72399999999999998</v>
      </c>
      <c r="J33" s="26">
        <f>F33*0.0049*E33/G33</f>
        <v>491.26342045693571</v>
      </c>
      <c r="K33" s="26">
        <f>F33*D33*E33</f>
        <v>1.6666666666666668E-3</v>
      </c>
      <c r="L33" s="27">
        <v>39.380000000000003</v>
      </c>
      <c r="M33" s="27">
        <v>25.54</v>
      </c>
      <c r="N33" s="44">
        <f t="shared" si="11"/>
        <v>13.840000000000003</v>
      </c>
      <c r="O33" s="28">
        <f>K33*H33*(L33-M33)</f>
        <v>94.80400000000003</v>
      </c>
      <c r="P33" s="29">
        <v>5.5</v>
      </c>
      <c r="Q33" s="27">
        <f>P33/60000</f>
        <v>9.1666666666666668E-5</v>
      </c>
      <c r="R33" s="27">
        <v>20.92</v>
      </c>
      <c r="S33" s="27">
        <v>21.16</v>
      </c>
      <c r="T33" s="27">
        <f t="shared" si="14"/>
        <v>0.23999999999999844</v>
      </c>
      <c r="U33" s="27">
        <f t="shared" si="0"/>
        <v>9.9116320664079556</v>
      </c>
      <c r="V33" s="27">
        <f>6.3/1000</f>
        <v>6.3E-3</v>
      </c>
      <c r="W33" s="26">
        <f>38.5/1000</f>
        <v>3.85E-2</v>
      </c>
      <c r="X33" s="26">
        <f>W33-V33</f>
        <v>3.2199999999999999E-2</v>
      </c>
      <c r="Y33" s="26">
        <f>3.14*(W33*W33-V33*V33)/4</f>
        <v>1.1324096E-3</v>
      </c>
      <c r="Z33" s="26">
        <f t="shared" si="1"/>
        <v>8.0948330592275686E-2</v>
      </c>
      <c r="AA33" s="26">
        <v>996</v>
      </c>
      <c r="AB33" s="26">
        <v>8.4500000000000005E-4</v>
      </c>
      <c r="AC33" s="26">
        <v>4181</v>
      </c>
      <c r="AD33" s="26">
        <v>0.61299999999999999</v>
      </c>
      <c r="AE33" s="26">
        <f t="shared" si="2"/>
        <v>3072.3196450780965</v>
      </c>
      <c r="AF33" s="26">
        <f t="shared" si="3"/>
        <v>9.1300000000000006E-2</v>
      </c>
      <c r="AG33" s="26">
        <f t="shared" si="19"/>
        <v>91.61407199999941</v>
      </c>
      <c r="AH33" s="26">
        <f t="shared" si="20"/>
        <v>3.3647609805499967</v>
      </c>
      <c r="AI33" s="26">
        <f t="shared" si="4"/>
        <v>9.5649232502591932</v>
      </c>
      <c r="AJ33" s="26">
        <f t="shared" si="21"/>
        <v>386.81319382303889</v>
      </c>
      <c r="AK33" s="26">
        <f>1/AJ33</f>
        <v>2.5852272258776281E-3</v>
      </c>
      <c r="AL33" s="26">
        <f t="shared" si="43"/>
        <v>23.254229666155162</v>
      </c>
      <c r="AM33" s="26">
        <v>54</v>
      </c>
      <c r="AN33" s="26">
        <f t="shared" si="24"/>
        <v>2262.6734579925578</v>
      </c>
      <c r="AO33" s="26">
        <f t="shared" si="25"/>
        <v>3.4374282998299793E-4</v>
      </c>
      <c r="AP33" s="26">
        <f t="shared" si="26"/>
        <v>2.2754031850022165E-5</v>
      </c>
      <c r="AQ33" s="26">
        <f t="shared" si="5"/>
        <v>2.2187303640446082E-3</v>
      </c>
      <c r="AR33" s="26">
        <f>1/AQ33</f>
        <v>450.70821412344213</v>
      </c>
      <c r="AS33" s="27">
        <f>AR33*0.0049/0.7</f>
        <v>3.1549574988640949</v>
      </c>
      <c r="AT33" s="30">
        <f t="shared" si="29"/>
        <v>0.11536359620666103</v>
      </c>
      <c r="AU33" s="26">
        <f>AS33/AS6</f>
        <v>1.245503564952654</v>
      </c>
    </row>
    <row r="34" spans="1:47" ht="15.75" thickBot="1">
      <c r="A34" s="11"/>
      <c r="B34" s="32">
        <f>B33+0.05</f>
        <v>0.15000000000000002</v>
      </c>
      <c r="C34" s="32">
        <f t="shared" ref="C34:C41" si="64">B34/60000</f>
        <v>2.5000000000000002E-6</v>
      </c>
      <c r="D34" s="32">
        <f t="shared" ref="D34:D41" si="65">(3.14/4)*(4.9/1000)*(4.9/1000)</f>
        <v>1.8847850000000006E-5</v>
      </c>
      <c r="E34" s="32">
        <f t="shared" ref="E34:E41" si="66">C34/D34</f>
        <v>0.13264112352337265</v>
      </c>
      <c r="F34" s="32">
        <v>1000</v>
      </c>
      <c r="G34" s="60">
        <v>8.8199999999999997E-4</v>
      </c>
      <c r="H34" s="32">
        <v>4110</v>
      </c>
      <c r="I34" s="32">
        <v>0.72399999999999998</v>
      </c>
      <c r="J34" s="32">
        <f t="shared" ref="J34:J41" si="67">F34*0.0049*E34/G34</f>
        <v>736.8951306854035</v>
      </c>
      <c r="K34" s="32">
        <f t="shared" ref="K34:K41" si="68">F34*D34*E34</f>
        <v>2.5000000000000001E-3</v>
      </c>
      <c r="L34" s="33">
        <v>40.61</v>
      </c>
      <c r="M34" s="33">
        <v>27.36</v>
      </c>
      <c r="N34" s="33">
        <f t="shared" si="11"/>
        <v>13.25</v>
      </c>
      <c r="O34" s="34">
        <f t="shared" ref="O34:O41" si="69">K34*H34*(L34-M34)</f>
        <v>136.14375000000001</v>
      </c>
      <c r="P34" s="35">
        <v>5.5</v>
      </c>
      <c r="Q34" s="33">
        <f t="shared" ref="Q34:Q41" si="70">P34/60000</f>
        <v>9.1666666666666668E-5</v>
      </c>
      <c r="R34" s="33">
        <v>20.79</v>
      </c>
      <c r="S34" s="33">
        <v>21.130000000000003</v>
      </c>
      <c r="T34" s="33">
        <f t="shared" si="14"/>
        <v>0.34000000000000341</v>
      </c>
      <c r="U34" s="33">
        <f t="shared" si="0"/>
        <v>11.878096695806605</v>
      </c>
      <c r="V34" s="33">
        <f t="shared" ref="V34:V41" si="71">6.3/1000</f>
        <v>6.3E-3</v>
      </c>
      <c r="W34" s="32">
        <f t="shared" ref="W34:W41" si="72">38.5/1000</f>
        <v>3.85E-2</v>
      </c>
      <c r="X34" s="32">
        <f t="shared" ref="X34:X41" si="73">W34-V34</f>
        <v>3.2199999999999999E-2</v>
      </c>
      <c r="Y34" s="32">
        <f t="shared" ref="Y34:Y41" si="74">3.14*(W34*W34-V34*V34)/4</f>
        <v>1.1324096E-3</v>
      </c>
      <c r="Z34" s="32">
        <f t="shared" si="1"/>
        <v>8.0948330592275686E-2</v>
      </c>
      <c r="AA34" s="32">
        <v>996</v>
      </c>
      <c r="AB34" s="32">
        <v>8.4500000000000005E-4</v>
      </c>
      <c r="AC34" s="32">
        <v>4181</v>
      </c>
      <c r="AD34" s="32">
        <v>0.61299999999999999</v>
      </c>
      <c r="AE34" s="32">
        <f t="shared" si="2"/>
        <v>3072.3196450780965</v>
      </c>
      <c r="AF34" s="32">
        <f t="shared" si="3"/>
        <v>9.1300000000000006E-2</v>
      </c>
      <c r="AG34" s="32">
        <f t="shared" si="19"/>
        <v>129.7866020000013</v>
      </c>
      <c r="AH34" s="32">
        <f t="shared" si="20"/>
        <v>4.6694380021107946</v>
      </c>
      <c r="AI34" s="32">
        <f t="shared" si="4"/>
        <v>11.461747911857264</v>
      </c>
      <c r="AJ34" s="32">
        <f t="shared" si="21"/>
        <v>463.52230964946978</v>
      </c>
      <c r="AK34" s="32">
        <f t="shared" ref="AK34:AK41" si="75">1/AJ34</f>
        <v>2.1573934612904213E-3</v>
      </c>
      <c r="AL34" s="26">
        <f t="shared" si="43"/>
        <v>23.254229666155162</v>
      </c>
      <c r="AM34" s="32">
        <v>54</v>
      </c>
      <c r="AN34" s="32">
        <f t="shared" si="24"/>
        <v>2262.6734579925578</v>
      </c>
      <c r="AO34" s="32">
        <f t="shared" si="25"/>
        <v>3.4374282998299793E-4</v>
      </c>
      <c r="AP34" s="26">
        <f t="shared" si="26"/>
        <v>2.2754031850022165E-5</v>
      </c>
      <c r="AQ34" s="32">
        <f t="shared" si="5"/>
        <v>1.7908965994574012E-3</v>
      </c>
      <c r="AR34" s="32">
        <f t="shared" ref="AR34:AR41" si="76">1/AQ34</f>
        <v>558.37952917157588</v>
      </c>
      <c r="AS34" s="27">
        <f t="shared" ref="AS34:AS41" si="77">AR34*0.0049/0.7</f>
        <v>3.9086567042010314</v>
      </c>
      <c r="AT34" s="36">
        <f t="shared" si="29"/>
        <v>9.3118242529957165E-2</v>
      </c>
      <c r="AU34" s="32">
        <f t="shared" ref="AU34:AU41" si="78">AS34/AS7</f>
        <v>1.1529731284010278</v>
      </c>
    </row>
    <row r="35" spans="1:47" ht="15.75" thickBot="1">
      <c r="A35" s="11"/>
      <c r="B35" s="32">
        <f t="shared" ref="B35:B41" si="79">B34+0.05</f>
        <v>0.2</v>
      </c>
      <c r="C35" s="32">
        <f t="shared" si="64"/>
        <v>3.3333333333333333E-6</v>
      </c>
      <c r="D35" s="32">
        <f t="shared" si="65"/>
        <v>1.8847850000000006E-5</v>
      </c>
      <c r="E35" s="32">
        <f t="shared" si="66"/>
        <v>0.17685483136449687</v>
      </c>
      <c r="F35" s="32">
        <v>1000</v>
      </c>
      <c r="G35" s="60">
        <v>8.8199999999999997E-4</v>
      </c>
      <c r="H35" s="32">
        <v>4110</v>
      </c>
      <c r="I35" s="32">
        <v>0.72399999999999998</v>
      </c>
      <c r="J35" s="32">
        <f t="shared" si="67"/>
        <v>982.52684091387141</v>
      </c>
      <c r="K35" s="32">
        <f t="shared" si="68"/>
        <v>3.3333333333333335E-3</v>
      </c>
      <c r="L35" s="33">
        <v>40.799999999999997</v>
      </c>
      <c r="M35" s="33">
        <v>28.7</v>
      </c>
      <c r="N35" s="33">
        <f t="shared" si="11"/>
        <v>12.099999999999998</v>
      </c>
      <c r="O35" s="34">
        <f t="shared" si="69"/>
        <v>165.76999999999998</v>
      </c>
      <c r="P35" s="35">
        <v>5.5</v>
      </c>
      <c r="Q35" s="33">
        <f t="shared" si="70"/>
        <v>9.1666666666666668E-5</v>
      </c>
      <c r="R35" s="33">
        <v>21.18</v>
      </c>
      <c r="S35" s="33">
        <v>21.6</v>
      </c>
      <c r="T35" s="33">
        <f t="shared" si="14"/>
        <v>0.42000000000000171</v>
      </c>
      <c r="U35" s="33">
        <f t="shared" si="0"/>
        <v>12.460738258461021</v>
      </c>
      <c r="V35" s="33">
        <f t="shared" si="71"/>
        <v>6.3E-3</v>
      </c>
      <c r="W35" s="32">
        <f t="shared" si="72"/>
        <v>3.85E-2</v>
      </c>
      <c r="X35" s="32">
        <f t="shared" si="73"/>
        <v>3.2199999999999999E-2</v>
      </c>
      <c r="Y35" s="32">
        <f t="shared" si="74"/>
        <v>1.1324096E-3</v>
      </c>
      <c r="Z35" s="32">
        <f t="shared" si="1"/>
        <v>8.0948330592275686E-2</v>
      </c>
      <c r="AA35" s="32">
        <v>996</v>
      </c>
      <c r="AB35" s="32">
        <v>8.4500000000000005E-4</v>
      </c>
      <c r="AC35" s="32">
        <v>4181</v>
      </c>
      <c r="AD35" s="32">
        <v>0.61299999999999999</v>
      </c>
      <c r="AE35" s="32">
        <f t="shared" si="2"/>
        <v>3072.3196450780965</v>
      </c>
      <c r="AF35" s="32">
        <f t="shared" si="3"/>
        <v>9.1300000000000006E-2</v>
      </c>
      <c r="AG35" s="32">
        <f t="shared" si="19"/>
        <v>160.32462600000065</v>
      </c>
      <c r="AH35" s="32">
        <f t="shared" si="20"/>
        <v>3.2848971466485697</v>
      </c>
      <c r="AI35" s="32">
        <f t="shared" si="4"/>
        <v>13.303385125471179</v>
      </c>
      <c r="AJ35" s="32">
        <f t="shared" si="21"/>
        <v>537.99960066610777</v>
      </c>
      <c r="AK35" s="32">
        <f t="shared" si="75"/>
        <v>1.8587374391391379E-3</v>
      </c>
      <c r="AL35" s="26">
        <f t="shared" si="43"/>
        <v>23.254229666155162</v>
      </c>
      <c r="AM35" s="32">
        <v>54</v>
      </c>
      <c r="AN35" s="32">
        <f t="shared" si="24"/>
        <v>2262.6734579925578</v>
      </c>
      <c r="AO35" s="32">
        <f t="shared" si="25"/>
        <v>3.4374282998299793E-4</v>
      </c>
      <c r="AP35" s="26">
        <f t="shared" si="26"/>
        <v>2.2754031850022165E-5</v>
      </c>
      <c r="AQ35" s="32">
        <f t="shared" si="5"/>
        <v>1.4922405773061178E-3</v>
      </c>
      <c r="AR35" s="32">
        <f t="shared" si="76"/>
        <v>670.13323133543247</v>
      </c>
      <c r="AS35" s="27">
        <f t="shared" si="77"/>
        <v>4.6909326193480272</v>
      </c>
      <c r="AT35" s="36">
        <f t="shared" si="29"/>
        <v>7.7589526962491509E-2</v>
      </c>
      <c r="AU35" s="32">
        <f t="shared" si="78"/>
        <v>1.0568694621744354</v>
      </c>
    </row>
    <row r="36" spans="1:47" ht="15.75" thickBot="1">
      <c r="A36" s="11"/>
      <c r="B36" s="32">
        <f t="shared" si="79"/>
        <v>0.25</v>
      </c>
      <c r="C36" s="32">
        <f t="shared" si="64"/>
        <v>4.1666666666666669E-6</v>
      </c>
      <c r="D36" s="32">
        <f t="shared" si="65"/>
        <v>1.8847850000000006E-5</v>
      </c>
      <c r="E36" s="32">
        <f t="shared" si="66"/>
        <v>0.22106853920562108</v>
      </c>
      <c r="F36" s="32">
        <v>1000</v>
      </c>
      <c r="G36" s="60">
        <v>8.8199999999999997E-4</v>
      </c>
      <c r="H36" s="32">
        <v>4110</v>
      </c>
      <c r="I36" s="32">
        <v>0.72399999999999998</v>
      </c>
      <c r="J36" s="32">
        <f t="shared" si="67"/>
        <v>1228.1585511423393</v>
      </c>
      <c r="K36" s="32">
        <f t="shared" si="68"/>
        <v>4.1666666666666666E-3</v>
      </c>
      <c r="L36" s="33">
        <v>40.729999999999997</v>
      </c>
      <c r="M36" s="33">
        <v>28.88</v>
      </c>
      <c r="N36" s="33">
        <f t="shared" si="11"/>
        <v>11.849999999999998</v>
      </c>
      <c r="O36" s="34">
        <f t="shared" si="69"/>
        <v>202.93124999999998</v>
      </c>
      <c r="P36" s="35">
        <v>5.5</v>
      </c>
      <c r="Q36" s="33">
        <f t="shared" si="70"/>
        <v>9.1666666666666668E-5</v>
      </c>
      <c r="R36" s="33">
        <v>20.8</v>
      </c>
      <c r="S36" s="33">
        <v>21.31</v>
      </c>
      <c r="T36" s="33">
        <f t="shared" si="14"/>
        <v>0.50999999999999801</v>
      </c>
      <c r="U36" s="33">
        <f t="shared" si="0"/>
        <v>12.931748337058997</v>
      </c>
      <c r="V36" s="33">
        <f t="shared" si="71"/>
        <v>6.3E-3</v>
      </c>
      <c r="W36" s="32">
        <f t="shared" si="72"/>
        <v>3.85E-2</v>
      </c>
      <c r="X36" s="32">
        <f t="shared" si="73"/>
        <v>3.2199999999999999E-2</v>
      </c>
      <c r="Y36" s="32">
        <f t="shared" si="74"/>
        <v>1.1324096E-3</v>
      </c>
      <c r="Z36" s="32">
        <f t="shared" si="1"/>
        <v>8.0948330592275686E-2</v>
      </c>
      <c r="AA36" s="32">
        <v>996</v>
      </c>
      <c r="AB36" s="32">
        <v>8.4500000000000005E-4</v>
      </c>
      <c r="AC36" s="32">
        <v>4181</v>
      </c>
      <c r="AD36" s="32">
        <v>0.61299999999999999</v>
      </c>
      <c r="AE36" s="32">
        <f t="shared" si="2"/>
        <v>3072.3196450780965</v>
      </c>
      <c r="AF36" s="32">
        <f t="shared" si="3"/>
        <v>9.1300000000000006E-2</v>
      </c>
      <c r="AG36" s="32">
        <f t="shared" si="19"/>
        <v>194.67990299999923</v>
      </c>
      <c r="AH36" s="32">
        <f t="shared" si="20"/>
        <v>4.0660800147837008</v>
      </c>
      <c r="AI36" s="32">
        <f t="shared" si="4"/>
        <v>15.692483700634066</v>
      </c>
      <c r="AJ36" s="32">
        <f t="shared" si="21"/>
        <v>634.61666972536921</v>
      </c>
      <c r="AK36" s="32">
        <f t="shared" si="75"/>
        <v>1.5757543848206046E-3</v>
      </c>
      <c r="AL36" s="26">
        <f t="shared" si="43"/>
        <v>23.254229666155162</v>
      </c>
      <c r="AM36" s="32">
        <v>54</v>
      </c>
      <c r="AN36" s="32">
        <f t="shared" si="24"/>
        <v>2262.6734579925578</v>
      </c>
      <c r="AO36" s="32">
        <f t="shared" si="25"/>
        <v>3.4374282998299793E-4</v>
      </c>
      <c r="AP36" s="26">
        <f t="shared" si="26"/>
        <v>2.2754031850022165E-5</v>
      </c>
      <c r="AQ36" s="32">
        <f t="shared" si="5"/>
        <v>1.2092575229875845E-3</v>
      </c>
      <c r="AR36" s="32">
        <f t="shared" si="76"/>
        <v>826.95371415131319</v>
      </c>
      <c r="AS36" s="27">
        <f t="shared" si="77"/>
        <v>5.7886759990591932</v>
      </c>
      <c r="AT36" s="36">
        <f t="shared" si="29"/>
        <v>6.2875732379440247E-2</v>
      </c>
      <c r="AU36" s="32">
        <f t="shared" si="78"/>
        <v>1.2423999300640667</v>
      </c>
    </row>
    <row r="37" spans="1:47" ht="15.75" thickBot="1">
      <c r="A37" s="11"/>
      <c r="B37" s="32">
        <f t="shared" si="79"/>
        <v>0.3</v>
      </c>
      <c r="C37" s="32">
        <f t="shared" si="64"/>
        <v>4.9999999999999996E-6</v>
      </c>
      <c r="D37" s="32">
        <f t="shared" si="65"/>
        <v>1.8847850000000006E-5</v>
      </c>
      <c r="E37" s="32">
        <f t="shared" si="66"/>
        <v>0.2652822470467453</v>
      </c>
      <c r="F37" s="32">
        <v>1000</v>
      </c>
      <c r="G37" s="60">
        <v>8.8199999999999997E-4</v>
      </c>
      <c r="H37" s="32">
        <v>4110</v>
      </c>
      <c r="I37" s="32">
        <v>0.72399999999999998</v>
      </c>
      <c r="J37" s="32">
        <f t="shared" si="67"/>
        <v>1473.790261370807</v>
      </c>
      <c r="K37" s="32">
        <f t="shared" si="68"/>
        <v>5.0000000000000001E-3</v>
      </c>
      <c r="L37" s="33">
        <v>40.71</v>
      </c>
      <c r="M37" s="33">
        <v>29.07</v>
      </c>
      <c r="N37" s="33">
        <f t="shared" si="11"/>
        <v>11.64</v>
      </c>
      <c r="O37" s="34">
        <f t="shared" si="69"/>
        <v>239.20200000000003</v>
      </c>
      <c r="P37" s="35">
        <v>5.5</v>
      </c>
      <c r="Q37" s="33">
        <f t="shared" si="70"/>
        <v>9.1666666666666668E-5</v>
      </c>
      <c r="R37" s="33">
        <v>20.6</v>
      </c>
      <c r="S37" s="33">
        <v>21.2</v>
      </c>
      <c r="T37" s="33">
        <f t="shared" si="14"/>
        <v>0.59999999999999787</v>
      </c>
      <c r="U37" s="33">
        <f t="shared" si="0"/>
        <v>13.231117422759812</v>
      </c>
      <c r="V37" s="33">
        <f t="shared" si="71"/>
        <v>6.3E-3</v>
      </c>
      <c r="W37" s="32">
        <f t="shared" si="72"/>
        <v>3.85E-2</v>
      </c>
      <c r="X37" s="32">
        <f t="shared" si="73"/>
        <v>3.2199999999999999E-2</v>
      </c>
      <c r="Y37" s="32">
        <f t="shared" si="74"/>
        <v>1.1324096E-3</v>
      </c>
      <c r="Z37" s="32">
        <f t="shared" si="1"/>
        <v>8.0948330592275686E-2</v>
      </c>
      <c r="AA37" s="32">
        <v>996</v>
      </c>
      <c r="AB37" s="32">
        <v>8.4500000000000005E-4</v>
      </c>
      <c r="AC37" s="32">
        <v>4181</v>
      </c>
      <c r="AD37" s="32">
        <v>0.61299999999999999</v>
      </c>
      <c r="AE37" s="32">
        <f t="shared" si="2"/>
        <v>3072.3196450780965</v>
      </c>
      <c r="AF37" s="32">
        <f t="shared" si="3"/>
        <v>9.1300000000000006E-2</v>
      </c>
      <c r="AG37" s="32">
        <f t="shared" si="19"/>
        <v>229.0351799999992</v>
      </c>
      <c r="AH37" s="32">
        <f t="shared" si="20"/>
        <v>4.2503072716786754</v>
      </c>
      <c r="AI37" s="32">
        <f t="shared" si="4"/>
        <v>18.078745154852243</v>
      </c>
      <c r="AJ37" s="32">
        <f t="shared" si="21"/>
        <v>731.11900333039102</v>
      </c>
      <c r="AK37" s="32">
        <f t="shared" si="75"/>
        <v>1.3677663902111738E-3</v>
      </c>
      <c r="AL37" s="26">
        <f t="shared" si="43"/>
        <v>23.254229666155162</v>
      </c>
      <c r="AM37" s="32">
        <v>54</v>
      </c>
      <c r="AN37" s="32">
        <f t="shared" si="24"/>
        <v>2262.6734579925578</v>
      </c>
      <c r="AO37" s="32">
        <f t="shared" si="25"/>
        <v>3.4374282998299793E-4</v>
      </c>
      <c r="AP37" s="26">
        <f t="shared" si="26"/>
        <v>2.2754031850022165E-5</v>
      </c>
      <c r="AQ37" s="32">
        <f t="shared" si="5"/>
        <v>1.0012695283781537E-3</v>
      </c>
      <c r="AR37" s="32">
        <f t="shared" si="76"/>
        <v>998.73208128064175</v>
      </c>
      <c r="AS37" s="27">
        <f t="shared" si="77"/>
        <v>6.9911245689644925</v>
      </c>
      <c r="AT37" s="36">
        <f t="shared" si="29"/>
        <v>5.2061329955967954E-2</v>
      </c>
      <c r="AU37" s="32">
        <f t="shared" si="78"/>
        <v>1.1940488817698702</v>
      </c>
    </row>
    <row r="38" spans="1:47" ht="15.75" thickBot="1">
      <c r="A38" s="11"/>
      <c r="B38" s="32">
        <f t="shared" si="79"/>
        <v>0.35</v>
      </c>
      <c r="C38" s="32">
        <f t="shared" si="64"/>
        <v>5.8333333333333331E-6</v>
      </c>
      <c r="D38" s="32">
        <f t="shared" si="65"/>
        <v>1.8847850000000006E-5</v>
      </c>
      <c r="E38" s="32">
        <f t="shared" si="66"/>
        <v>0.30949595488786952</v>
      </c>
      <c r="F38" s="32">
        <v>1000</v>
      </c>
      <c r="G38" s="60">
        <v>8.8199999999999997E-4</v>
      </c>
      <c r="H38" s="32">
        <v>4110</v>
      </c>
      <c r="I38" s="32">
        <v>0.72399999999999998</v>
      </c>
      <c r="J38" s="32">
        <f t="shared" si="67"/>
        <v>1719.4219715992751</v>
      </c>
      <c r="K38" s="32">
        <f t="shared" si="68"/>
        <v>5.8333333333333336E-3</v>
      </c>
      <c r="L38" s="33">
        <v>40.729999999999997</v>
      </c>
      <c r="M38" s="33">
        <v>29.5</v>
      </c>
      <c r="N38" s="33">
        <f t="shared" si="11"/>
        <v>11.229999999999997</v>
      </c>
      <c r="O38" s="34">
        <f t="shared" si="69"/>
        <v>269.23924999999991</v>
      </c>
      <c r="P38" s="35">
        <v>5.5</v>
      </c>
      <c r="Q38" s="33">
        <f t="shared" si="70"/>
        <v>9.1666666666666668E-5</v>
      </c>
      <c r="R38" s="33">
        <v>20.74</v>
      </c>
      <c r="S38" s="33">
        <v>21.39</v>
      </c>
      <c r="T38" s="33">
        <f t="shared" si="14"/>
        <v>0.65000000000000213</v>
      </c>
      <c r="U38" s="33">
        <f t="shared" si="0"/>
        <v>13.358930203956444</v>
      </c>
      <c r="V38" s="33">
        <f t="shared" si="71"/>
        <v>6.3E-3</v>
      </c>
      <c r="W38" s="32">
        <f t="shared" si="72"/>
        <v>3.85E-2</v>
      </c>
      <c r="X38" s="32">
        <f t="shared" si="73"/>
        <v>3.2199999999999999E-2</v>
      </c>
      <c r="Y38" s="32">
        <f t="shared" si="74"/>
        <v>1.1324096E-3</v>
      </c>
      <c r="Z38" s="32">
        <f t="shared" si="1"/>
        <v>8.0948330592275686E-2</v>
      </c>
      <c r="AA38" s="32">
        <v>996</v>
      </c>
      <c r="AB38" s="32">
        <v>8.4500000000000005E-4</v>
      </c>
      <c r="AC38" s="32">
        <v>4181</v>
      </c>
      <c r="AD38" s="32">
        <v>0.61299999999999999</v>
      </c>
      <c r="AE38" s="32">
        <f t="shared" si="2"/>
        <v>3072.3196450780965</v>
      </c>
      <c r="AF38" s="32">
        <f t="shared" si="3"/>
        <v>9.1300000000000006E-2</v>
      </c>
      <c r="AG38" s="32">
        <f t="shared" si="19"/>
        <v>248.12144500000082</v>
      </c>
      <c r="AH38" s="32">
        <f t="shared" si="20"/>
        <v>7.843509072321031</v>
      </c>
      <c r="AI38" s="32">
        <f t="shared" si="4"/>
        <v>20.154252315822472</v>
      </c>
      <c r="AJ38" s="32">
        <f t="shared" si="21"/>
        <v>815.05418323010701</v>
      </c>
      <c r="AK38" s="32">
        <f t="shared" si="75"/>
        <v>1.2269122968450294E-3</v>
      </c>
      <c r="AL38" s="26">
        <f t="shared" si="43"/>
        <v>23.254229666155162</v>
      </c>
      <c r="AM38" s="32">
        <v>54</v>
      </c>
      <c r="AN38" s="32">
        <f t="shared" si="24"/>
        <v>2262.6734579925578</v>
      </c>
      <c r="AO38" s="32">
        <f t="shared" si="25"/>
        <v>3.4374282998299793E-4</v>
      </c>
      <c r="AP38" s="26">
        <f t="shared" si="26"/>
        <v>2.2754031850022165E-5</v>
      </c>
      <c r="AQ38" s="32">
        <f t="shared" si="5"/>
        <v>8.6041543501200939E-4</v>
      </c>
      <c r="AR38" s="32">
        <f t="shared" si="76"/>
        <v>1162.229266593808</v>
      </c>
      <c r="AS38" s="27">
        <f t="shared" si="77"/>
        <v>8.1356048661566565</v>
      </c>
      <c r="AT38" s="36">
        <f t="shared" si="29"/>
        <v>4.4737576238763004E-2</v>
      </c>
      <c r="AU38" s="32">
        <f t="shared" si="78"/>
        <v>1.0810759171239541</v>
      </c>
    </row>
    <row r="39" spans="1:47" ht="15.75" thickBot="1">
      <c r="A39" s="11"/>
      <c r="B39" s="32">
        <f t="shared" si="79"/>
        <v>0.39999999999999997</v>
      </c>
      <c r="C39" s="32">
        <f t="shared" si="64"/>
        <v>6.6666666666666658E-6</v>
      </c>
      <c r="D39" s="32">
        <f t="shared" si="65"/>
        <v>1.8847850000000006E-5</v>
      </c>
      <c r="E39" s="32">
        <f t="shared" si="66"/>
        <v>0.35370966272899368</v>
      </c>
      <c r="F39" s="32">
        <v>1000</v>
      </c>
      <c r="G39" s="60">
        <v>8.8199999999999997E-4</v>
      </c>
      <c r="H39" s="32">
        <v>4110</v>
      </c>
      <c r="I39" s="32">
        <v>0.72399999999999998</v>
      </c>
      <c r="J39" s="32">
        <f t="shared" si="67"/>
        <v>1965.0536818277426</v>
      </c>
      <c r="K39" s="32">
        <f t="shared" si="68"/>
        <v>6.6666666666666654E-3</v>
      </c>
      <c r="L39" s="33">
        <v>40.729999999999997</v>
      </c>
      <c r="M39" s="33">
        <v>30.59</v>
      </c>
      <c r="N39" s="33">
        <f t="shared" si="11"/>
        <v>10.139999999999997</v>
      </c>
      <c r="O39" s="34">
        <f t="shared" si="69"/>
        <v>277.83599999999984</v>
      </c>
      <c r="P39" s="35">
        <v>5.5</v>
      </c>
      <c r="Q39" s="33">
        <f t="shared" si="70"/>
        <v>9.1666666666666668E-5</v>
      </c>
      <c r="R39" s="33">
        <v>21.07</v>
      </c>
      <c r="S39" s="33">
        <v>21.78</v>
      </c>
      <c r="T39" s="33">
        <f t="shared" si="14"/>
        <v>0.71000000000000085</v>
      </c>
      <c r="U39" s="33">
        <f t="shared" si="0"/>
        <v>13.698250410453699</v>
      </c>
      <c r="V39" s="33">
        <f t="shared" si="71"/>
        <v>6.3E-3</v>
      </c>
      <c r="W39" s="32">
        <f t="shared" si="72"/>
        <v>3.85E-2</v>
      </c>
      <c r="X39" s="32">
        <f t="shared" si="73"/>
        <v>3.2199999999999999E-2</v>
      </c>
      <c r="Y39" s="32">
        <f t="shared" si="74"/>
        <v>1.1324096E-3</v>
      </c>
      <c r="Z39" s="32">
        <f t="shared" si="1"/>
        <v>8.0948330592275686E-2</v>
      </c>
      <c r="AA39" s="32">
        <v>996</v>
      </c>
      <c r="AB39" s="32">
        <v>8.4500000000000005E-4</v>
      </c>
      <c r="AC39" s="32">
        <v>4181</v>
      </c>
      <c r="AD39" s="32">
        <v>0.61299999999999999</v>
      </c>
      <c r="AE39" s="32">
        <f t="shared" si="2"/>
        <v>3072.3196450780965</v>
      </c>
      <c r="AF39" s="32">
        <f t="shared" si="3"/>
        <v>9.1300000000000006E-2</v>
      </c>
      <c r="AG39" s="32">
        <f t="shared" si="19"/>
        <v>271.02496300000035</v>
      </c>
      <c r="AH39" s="32">
        <f t="shared" si="20"/>
        <v>2.4514594940898555</v>
      </c>
      <c r="AI39" s="32">
        <f t="shared" si="4"/>
        <v>20.2825902341493</v>
      </c>
      <c r="AJ39" s="32">
        <f t="shared" si="21"/>
        <v>820.24427193000906</v>
      </c>
      <c r="AK39" s="32">
        <f t="shared" si="75"/>
        <v>1.2191490196536592E-3</v>
      </c>
      <c r="AL39" s="26">
        <f t="shared" si="43"/>
        <v>23.254229666155162</v>
      </c>
      <c r="AM39" s="32">
        <v>54</v>
      </c>
      <c r="AN39" s="32">
        <f t="shared" si="24"/>
        <v>2262.6734579925578</v>
      </c>
      <c r="AO39" s="32">
        <f t="shared" si="25"/>
        <v>3.4374282998299793E-4</v>
      </c>
      <c r="AP39" s="26">
        <f t="shared" si="26"/>
        <v>2.2754031850022165E-5</v>
      </c>
      <c r="AQ39" s="32">
        <f t="shared" si="5"/>
        <v>8.5265215782063923E-4</v>
      </c>
      <c r="AR39" s="32">
        <f t="shared" si="76"/>
        <v>1172.8111995353165</v>
      </c>
      <c r="AS39" s="27">
        <f t="shared" si="77"/>
        <v>8.2096783967472167</v>
      </c>
      <c r="AT39" s="36">
        <f t="shared" si="29"/>
        <v>4.4333922153679414E-2</v>
      </c>
      <c r="AU39" s="32">
        <f t="shared" si="78"/>
        <v>1.0291113115853951</v>
      </c>
    </row>
    <row r="40" spans="1:47" ht="15.75" thickBot="1">
      <c r="A40" s="11"/>
      <c r="B40" s="32">
        <f t="shared" si="79"/>
        <v>0.44999999999999996</v>
      </c>
      <c r="C40" s="32">
        <f t="shared" si="64"/>
        <v>7.4999999999999993E-6</v>
      </c>
      <c r="D40" s="32">
        <f t="shared" si="65"/>
        <v>1.8847850000000006E-5</v>
      </c>
      <c r="E40" s="32">
        <f t="shared" si="66"/>
        <v>0.3979233705701179</v>
      </c>
      <c r="F40" s="32">
        <v>1000</v>
      </c>
      <c r="G40" s="60">
        <v>8.8199999999999997E-4</v>
      </c>
      <c r="H40" s="32">
        <v>4110</v>
      </c>
      <c r="I40" s="32">
        <v>0.72399999999999998</v>
      </c>
      <c r="J40" s="32">
        <f t="shared" si="67"/>
        <v>2210.6853920562103</v>
      </c>
      <c r="K40" s="32">
        <f t="shared" si="68"/>
        <v>7.4999999999999989E-3</v>
      </c>
      <c r="L40" s="33">
        <v>40.74</v>
      </c>
      <c r="M40" s="33">
        <v>31.2</v>
      </c>
      <c r="N40" s="33">
        <f t="shared" si="11"/>
        <v>9.5400000000000027</v>
      </c>
      <c r="O40" s="34">
        <f t="shared" si="69"/>
        <v>294.07050000000004</v>
      </c>
      <c r="P40" s="35">
        <v>5.5</v>
      </c>
      <c r="Q40" s="33">
        <f t="shared" si="70"/>
        <v>9.1666666666666668E-5</v>
      </c>
      <c r="R40" s="33">
        <v>21.73</v>
      </c>
      <c r="S40" s="33">
        <v>22.43</v>
      </c>
      <c r="T40" s="33">
        <f t="shared" si="14"/>
        <v>0.69999999999999929</v>
      </c>
      <c r="U40" s="33">
        <f t="shared" si="0"/>
        <v>13.407784933128168</v>
      </c>
      <c r="V40" s="33">
        <f t="shared" si="71"/>
        <v>6.3E-3</v>
      </c>
      <c r="W40" s="32">
        <f t="shared" si="72"/>
        <v>3.85E-2</v>
      </c>
      <c r="X40" s="32">
        <f t="shared" si="73"/>
        <v>3.2199999999999999E-2</v>
      </c>
      <c r="Y40" s="32">
        <f t="shared" si="74"/>
        <v>1.1324096E-3</v>
      </c>
      <c r="Z40" s="32">
        <f t="shared" si="1"/>
        <v>8.0948330592275686E-2</v>
      </c>
      <c r="AA40" s="32">
        <v>996</v>
      </c>
      <c r="AB40" s="32">
        <v>8.4500000000000005E-4</v>
      </c>
      <c r="AC40" s="32">
        <v>4181</v>
      </c>
      <c r="AD40" s="32">
        <v>0.61299999999999999</v>
      </c>
      <c r="AE40" s="32">
        <f t="shared" si="2"/>
        <v>3072.3196450780965</v>
      </c>
      <c r="AF40" s="32">
        <f t="shared" si="3"/>
        <v>9.1300000000000006E-2</v>
      </c>
      <c r="AG40" s="32">
        <f t="shared" si="19"/>
        <v>267.20770999999974</v>
      </c>
      <c r="AH40" s="32">
        <f t="shared" si="20"/>
        <v>9.1348129105096554</v>
      </c>
      <c r="AI40" s="32">
        <f t="shared" si="4"/>
        <v>21.932817498691076</v>
      </c>
      <c r="AJ40" s="32">
        <f t="shared" si="21"/>
        <v>886.98079056479935</v>
      </c>
      <c r="AK40" s="32">
        <f t="shared" si="75"/>
        <v>1.1274201320225141E-3</v>
      </c>
      <c r="AL40" s="26">
        <f t="shared" si="43"/>
        <v>23.254229666155162</v>
      </c>
      <c r="AM40" s="32">
        <v>54</v>
      </c>
      <c r="AN40" s="32">
        <f t="shared" si="24"/>
        <v>2262.6734579925578</v>
      </c>
      <c r="AO40" s="32">
        <f t="shared" si="25"/>
        <v>3.4374282998299793E-4</v>
      </c>
      <c r="AP40" s="26">
        <f t="shared" si="26"/>
        <v>2.2754031850022165E-5</v>
      </c>
      <c r="AQ40" s="32">
        <f t="shared" si="5"/>
        <v>7.6092327018949409E-4</v>
      </c>
      <c r="AR40" s="32">
        <f t="shared" si="76"/>
        <v>1314.1929537139379</v>
      </c>
      <c r="AS40" s="27">
        <f t="shared" si="77"/>
        <v>9.1993506759975663</v>
      </c>
      <c r="AT40" s="36">
        <f t="shared" si="29"/>
        <v>3.9564449249421242E-2</v>
      </c>
      <c r="AU40" s="32">
        <f t="shared" si="78"/>
        <v>1.0059360337558643</v>
      </c>
    </row>
    <row r="41" spans="1:47" ht="15.75" thickBot="1">
      <c r="A41" s="46"/>
      <c r="B41" s="38">
        <f t="shared" si="79"/>
        <v>0.49999999999999994</v>
      </c>
      <c r="C41" s="38">
        <f t="shared" si="64"/>
        <v>8.333333333333332E-6</v>
      </c>
      <c r="D41" s="38">
        <f t="shared" si="65"/>
        <v>1.8847850000000006E-5</v>
      </c>
      <c r="E41" s="38">
        <f t="shared" si="66"/>
        <v>0.44213707841124211</v>
      </c>
      <c r="F41" s="38">
        <v>1000</v>
      </c>
      <c r="G41" s="61">
        <v>8.8199999999999997E-4</v>
      </c>
      <c r="H41" s="38">
        <v>4110</v>
      </c>
      <c r="I41" s="38">
        <v>0.72399999999999998</v>
      </c>
      <c r="J41" s="38">
        <f t="shared" si="67"/>
        <v>2456.3171022846782</v>
      </c>
      <c r="K41" s="38">
        <f t="shared" si="68"/>
        <v>8.3333333333333332E-3</v>
      </c>
      <c r="L41" s="39">
        <v>40.770000000000003</v>
      </c>
      <c r="M41" s="39">
        <v>31.2</v>
      </c>
      <c r="N41" s="39">
        <f t="shared" si="11"/>
        <v>9.5700000000000038</v>
      </c>
      <c r="O41" s="40">
        <f t="shared" si="69"/>
        <v>327.77250000000015</v>
      </c>
      <c r="P41" s="41">
        <v>5.5</v>
      </c>
      <c r="Q41" s="39">
        <f t="shared" si="70"/>
        <v>9.1666666666666668E-5</v>
      </c>
      <c r="R41" s="39">
        <v>21.68</v>
      </c>
      <c r="S41" s="39">
        <v>22.47</v>
      </c>
      <c r="T41" s="39">
        <f t="shared" si="14"/>
        <v>0.78999999999999915</v>
      </c>
      <c r="U41" s="39">
        <f t="shared" si="0"/>
        <v>13.435220433440515</v>
      </c>
      <c r="V41" s="39">
        <f t="shared" si="71"/>
        <v>6.3E-3</v>
      </c>
      <c r="W41" s="38">
        <f t="shared" si="72"/>
        <v>3.85E-2</v>
      </c>
      <c r="X41" s="38">
        <f t="shared" si="73"/>
        <v>3.2199999999999999E-2</v>
      </c>
      <c r="Y41" s="38">
        <f t="shared" si="74"/>
        <v>1.1324096E-3</v>
      </c>
      <c r="Z41" s="38">
        <f t="shared" si="1"/>
        <v>8.0948330592275686E-2</v>
      </c>
      <c r="AA41" s="38">
        <v>996</v>
      </c>
      <c r="AB41" s="38">
        <v>8.4500000000000005E-4</v>
      </c>
      <c r="AC41" s="38">
        <v>4181</v>
      </c>
      <c r="AD41" s="38">
        <v>0.61299999999999999</v>
      </c>
      <c r="AE41" s="38">
        <f t="shared" si="2"/>
        <v>3072.3196450780965</v>
      </c>
      <c r="AF41" s="38">
        <f t="shared" si="3"/>
        <v>9.1300000000000006E-2</v>
      </c>
      <c r="AG41" s="38">
        <f t="shared" si="19"/>
        <v>301.56298699999968</v>
      </c>
      <c r="AH41" s="38">
        <f t="shared" si="20"/>
        <v>7.9962513633695496</v>
      </c>
      <c r="AI41" s="38">
        <f t="shared" si="4"/>
        <v>24.396510769869341</v>
      </c>
      <c r="AJ41" s="38">
        <f t="shared" si="21"/>
        <v>986.61452916264648</v>
      </c>
      <c r="AK41" s="38">
        <f t="shared" si="75"/>
        <v>1.0135670724905237E-3</v>
      </c>
      <c r="AL41" s="26">
        <f t="shared" si="43"/>
        <v>23.254229666155162</v>
      </c>
      <c r="AM41" s="38">
        <v>54</v>
      </c>
      <c r="AN41" s="38">
        <f t="shared" si="24"/>
        <v>2262.6734579925578</v>
      </c>
      <c r="AO41" s="38">
        <f t="shared" si="25"/>
        <v>3.4374282998299793E-4</v>
      </c>
      <c r="AP41" s="26">
        <f t="shared" si="26"/>
        <v>2.2754031850022165E-5</v>
      </c>
      <c r="AQ41" s="38">
        <f t="shared" si="5"/>
        <v>6.4707021065750373E-4</v>
      </c>
      <c r="AR41" s="38">
        <f t="shared" si="76"/>
        <v>1545.4273485776384</v>
      </c>
      <c r="AS41" s="27">
        <f t="shared" si="77"/>
        <v>10.817991440043469</v>
      </c>
      <c r="AT41" s="42">
        <f t="shared" si="29"/>
        <v>3.3644622938125764E-2</v>
      </c>
      <c r="AU41" s="38">
        <f t="shared" si="78"/>
        <v>1.0975037577243512</v>
      </c>
    </row>
  </sheetData>
  <mergeCells count="25">
    <mergeCell ref="A15:A23"/>
    <mergeCell ref="A24:A32"/>
    <mergeCell ref="A33:A41"/>
    <mergeCell ref="AQ4:AQ5"/>
    <mergeCell ref="AR4:AR5"/>
    <mergeCell ref="AS4:AS5"/>
    <mergeCell ref="AT4:AT5"/>
    <mergeCell ref="AU4:AU5"/>
    <mergeCell ref="A6:A14"/>
    <mergeCell ref="AI4:AI5"/>
    <mergeCell ref="AJ4:AJ5"/>
    <mergeCell ref="AK4:AK5"/>
    <mergeCell ref="AL4:AL5"/>
    <mergeCell ref="AO4:AO5"/>
    <mergeCell ref="AP4:AP5"/>
    <mergeCell ref="A2:M2"/>
    <mergeCell ref="A3:A4"/>
    <mergeCell ref="B3:O3"/>
    <mergeCell ref="P3:AU3"/>
    <mergeCell ref="B4:C4"/>
    <mergeCell ref="J4:J5"/>
    <mergeCell ref="N4:N5"/>
    <mergeCell ref="P4:Q4"/>
    <mergeCell ref="T4:T5"/>
    <mergeCell ref="AE4:A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lucun</dc:creator>
  <cp:lastModifiedBy>lucun</cp:lastModifiedBy>
  <dcterms:created xsi:type="dcterms:W3CDTF">2015-06-06T11:50:44Z</dcterms:created>
  <dcterms:modified xsi:type="dcterms:W3CDTF">2015-06-06T11:53:20Z</dcterms:modified>
</cp:coreProperties>
</file>