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200" windowHeight="7155" activeTab="2"/>
  </bookViews>
  <sheets>
    <sheet name="train traction" sheetId="3" r:id="rId1"/>
    <sheet name="co2e calc" sheetId="2" r:id="rId2"/>
    <sheet name="terminals" sheetId="1" r:id="rId3"/>
  </sheets>
  <calcPr calcId="145621"/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E16" i="2"/>
  <c r="T31" i="3"/>
  <c r="M30" i="3"/>
  <c r="M29" i="3"/>
  <c r="S13" i="3" s="1"/>
  <c r="B29" i="3"/>
  <c r="G28" i="3"/>
  <c r="G31" i="3" s="1"/>
  <c r="M25" i="3"/>
  <c r="M24" i="3"/>
  <c r="M23" i="3"/>
  <c r="B21" i="3"/>
  <c r="S12" i="3"/>
  <c r="R11" i="3"/>
  <c r="R12" i="3" s="1"/>
  <c r="R10" i="3" s="1"/>
  <c r="R6" i="3" s="1"/>
  <c r="R4" i="3" s="1"/>
  <c r="Q11" i="3"/>
  <c r="Q12" i="3" s="1"/>
  <c r="Q10" i="3" s="1"/>
  <c r="Q6" i="3" s="1"/>
  <c r="P11" i="3"/>
  <c r="P12" i="3" s="1"/>
  <c r="P10" i="3" s="1"/>
  <c r="P6" i="3" s="1"/>
  <c r="O11" i="3"/>
  <c r="O12" i="3" s="1"/>
  <c r="O10" i="3" s="1"/>
  <c r="O6" i="3" s="1"/>
  <c r="O4" i="3" s="1"/>
  <c r="N11" i="3"/>
  <c r="N12" i="3" s="1"/>
  <c r="N10" i="3" s="1"/>
  <c r="N6" i="3" s="1"/>
  <c r="N4" i="3" s="1"/>
  <c r="M11" i="3"/>
  <c r="M12" i="3" s="1"/>
  <c r="M10" i="3" s="1"/>
  <c r="M6" i="3" s="1"/>
  <c r="M4" i="3" s="1"/>
  <c r="L11" i="3"/>
  <c r="L12" i="3" s="1"/>
  <c r="L10" i="3" s="1"/>
  <c r="L6" i="3" s="1"/>
  <c r="L4" i="3" s="1"/>
  <c r="K11" i="3"/>
  <c r="K12" i="3" s="1"/>
  <c r="K10" i="3" s="1"/>
  <c r="K6" i="3" s="1"/>
  <c r="K4" i="3" s="1"/>
  <c r="J11" i="3"/>
  <c r="J12" i="3" s="1"/>
  <c r="J10" i="3" s="1"/>
  <c r="J6" i="3" s="1"/>
  <c r="J4" i="3" s="1"/>
  <c r="I11" i="3"/>
  <c r="I12" i="3" s="1"/>
  <c r="I10" i="3" s="1"/>
  <c r="I6" i="3" s="1"/>
  <c r="H11" i="3"/>
  <c r="H12" i="3" s="1"/>
  <c r="H10" i="3" s="1"/>
  <c r="H6" i="3" s="1"/>
  <c r="H4" i="3" s="1"/>
  <c r="G11" i="3"/>
  <c r="G12" i="3" s="1"/>
  <c r="G10" i="3" s="1"/>
  <c r="G6" i="3" s="1"/>
  <c r="G4" i="3" s="1"/>
  <c r="F11" i="3"/>
  <c r="F12" i="3" s="1"/>
  <c r="F10" i="3" s="1"/>
  <c r="F6" i="3" s="1"/>
  <c r="F4" i="3" s="1"/>
  <c r="E11" i="3"/>
  <c r="E12" i="3" s="1"/>
  <c r="E10" i="3" s="1"/>
  <c r="E6" i="3" s="1"/>
  <c r="E4" i="3" s="1"/>
  <c r="D11" i="3"/>
  <c r="D12" i="3" s="1"/>
  <c r="D10" i="3" s="1"/>
  <c r="D6" i="3" s="1"/>
  <c r="D4" i="3" s="1"/>
  <c r="C11" i="3"/>
  <c r="M27" i="3" s="1"/>
  <c r="S10" i="3"/>
  <c r="S8" i="3"/>
  <c r="R8" i="3"/>
  <c r="Q8" i="3"/>
  <c r="Q7" i="3" s="1"/>
  <c r="P8" i="3"/>
  <c r="P7" i="3" s="1"/>
  <c r="O8" i="3"/>
  <c r="N8" i="3"/>
  <c r="M8" i="3"/>
  <c r="L8" i="3"/>
  <c r="K8" i="3"/>
  <c r="J8" i="3"/>
  <c r="I8" i="3"/>
  <c r="I7" i="3" s="1"/>
  <c r="H8" i="3"/>
  <c r="H7" i="3" s="1"/>
  <c r="G8" i="3"/>
  <c r="F8" i="3"/>
  <c r="E8" i="3"/>
  <c r="D8" i="3"/>
  <c r="C8" i="3"/>
  <c r="R7" i="3"/>
  <c r="O7" i="3"/>
  <c r="N7" i="3"/>
  <c r="M7" i="3"/>
  <c r="L7" i="3"/>
  <c r="K7" i="3"/>
  <c r="J7" i="3"/>
  <c r="G7" i="3"/>
  <c r="F7" i="3"/>
  <c r="E7" i="3"/>
  <c r="D7" i="3"/>
  <c r="C7" i="3"/>
  <c r="S6" i="3"/>
  <c r="F15" i="2"/>
  <c r="F14" i="2"/>
  <c r="F13" i="2"/>
  <c r="F12" i="2"/>
  <c r="F11" i="2"/>
  <c r="F10" i="2"/>
  <c r="F9" i="2"/>
  <c r="F8" i="2"/>
  <c r="F7" i="2"/>
  <c r="F6" i="2"/>
  <c r="E15" i="2"/>
  <c r="E14" i="2"/>
  <c r="E13" i="2"/>
  <c r="E12" i="2"/>
  <c r="E11" i="2"/>
  <c r="E10" i="2"/>
  <c r="E9" i="2"/>
  <c r="E8" i="2"/>
  <c r="E7" i="2"/>
  <c r="E6" i="2"/>
  <c r="Q4" i="3" l="1"/>
  <c r="T13" i="3"/>
  <c r="S7" i="3"/>
  <c r="T7" i="3" s="1"/>
  <c r="P4" i="3"/>
  <c r="I4" i="3"/>
  <c r="S4" i="3"/>
  <c r="C12" i="3"/>
  <c r="M28" i="3" l="1"/>
  <c r="C10" i="3"/>
  <c r="M26" i="3" l="1"/>
  <c r="M22" i="3" s="1"/>
  <c r="M20" i="3" s="1"/>
  <c r="C6" i="3"/>
  <c r="C4" i="3" s="1"/>
  <c r="T4" i="3" s="1"/>
  <c r="T16" i="3" l="1"/>
  <c r="T17" i="3"/>
  <c r="T20" i="3" s="1"/>
  <c r="D26" i="3" l="1"/>
  <c r="E26" i="3" s="1"/>
  <c r="D23" i="3"/>
  <c r="D25" i="3"/>
  <c r="E25" i="3" s="1"/>
  <c r="D24" i="3"/>
  <c r="E24" i="3" s="1"/>
  <c r="T29" i="3"/>
  <c r="E23" i="3" l="1"/>
  <c r="E27" i="3" s="1"/>
  <c r="B31" i="3" s="1"/>
  <c r="D27" i="3"/>
  <c r="B27" i="3" s="1"/>
  <c r="B30" i="3" s="1"/>
  <c r="M44" i="1" l="1"/>
  <c r="M43" i="1"/>
  <c r="M42" i="1"/>
  <c r="M41" i="1"/>
  <c r="M40" i="1"/>
  <c r="N40" i="1" s="1"/>
  <c r="M39" i="1"/>
  <c r="N39" i="1" s="1"/>
  <c r="M38" i="1"/>
  <c r="M37" i="1"/>
  <c r="M36" i="1"/>
  <c r="N36" i="1" s="1"/>
  <c r="M35" i="1"/>
  <c r="M34" i="1"/>
  <c r="M33" i="1"/>
  <c r="M32" i="1"/>
  <c r="N32" i="1" s="1"/>
  <c r="M31" i="1"/>
  <c r="N31" i="1" s="1"/>
  <c r="M30" i="1"/>
  <c r="N30" i="1" s="1"/>
  <c r="M29" i="1"/>
  <c r="M28" i="1"/>
  <c r="M27" i="1"/>
  <c r="M26" i="1"/>
  <c r="M25" i="1"/>
  <c r="L3" i="1"/>
  <c r="R3" i="1" s="1"/>
  <c r="L4" i="1"/>
  <c r="R4" i="1" s="1"/>
  <c r="L5" i="1"/>
  <c r="R5" i="1" s="1"/>
  <c r="L6" i="1"/>
  <c r="R6" i="1" s="1"/>
  <c r="L7" i="1"/>
  <c r="R7" i="1" s="1"/>
  <c r="L8" i="1"/>
  <c r="R8" i="1" s="1"/>
  <c r="L9" i="1"/>
  <c r="R9" i="1" s="1"/>
  <c r="L10" i="1"/>
  <c r="R10" i="1" s="1"/>
  <c r="L11" i="1"/>
  <c r="R11" i="1" s="1"/>
  <c r="L12" i="1"/>
  <c r="R12" i="1" s="1"/>
  <c r="L13" i="1"/>
  <c r="R13" i="1" s="1"/>
  <c r="L14" i="1"/>
  <c r="R14" i="1" s="1"/>
  <c r="L15" i="1"/>
  <c r="R15" i="1" s="1"/>
  <c r="L16" i="1"/>
  <c r="R16" i="1" s="1"/>
  <c r="L17" i="1"/>
  <c r="R17" i="1" s="1"/>
  <c r="L18" i="1"/>
  <c r="R18" i="1" s="1"/>
  <c r="L19" i="1"/>
  <c r="R19" i="1" s="1"/>
  <c r="L20" i="1"/>
  <c r="R20" i="1" s="1"/>
  <c r="L21" i="1"/>
  <c r="R21" i="1" s="1"/>
  <c r="L22" i="1"/>
  <c r="R22" i="1" s="1"/>
  <c r="L23" i="1"/>
  <c r="R23" i="1" s="1"/>
  <c r="L24" i="1"/>
  <c r="R24" i="1" s="1"/>
  <c r="L25" i="1"/>
  <c r="R25" i="1" s="1"/>
  <c r="L26" i="1"/>
  <c r="R26" i="1" s="1"/>
  <c r="L27" i="1"/>
  <c r="R27" i="1" s="1"/>
  <c r="L28" i="1"/>
  <c r="R28" i="1" s="1"/>
  <c r="L29" i="1"/>
  <c r="R29" i="1" s="1"/>
  <c r="L30" i="1"/>
  <c r="R30" i="1" s="1"/>
  <c r="L31" i="1"/>
  <c r="R31" i="1" s="1"/>
  <c r="L32" i="1"/>
  <c r="R32" i="1" s="1"/>
  <c r="L33" i="1"/>
  <c r="R33" i="1" s="1"/>
  <c r="L34" i="1"/>
  <c r="R34" i="1" s="1"/>
  <c r="L35" i="1"/>
  <c r="R35" i="1" s="1"/>
  <c r="L36" i="1"/>
  <c r="R36" i="1" s="1"/>
  <c r="L37" i="1"/>
  <c r="R37" i="1" s="1"/>
  <c r="L38" i="1"/>
  <c r="R38" i="1" s="1"/>
  <c r="L39" i="1"/>
  <c r="R39" i="1" s="1"/>
  <c r="L40" i="1"/>
  <c r="R40" i="1" s="1"/>
  <c r="L41" i="1"/>
  <c r="R41" i="1" s="1"/>
  <c r="L42" i="1"/>
  <c r="R42" i="1" s="1"/>
  <c r="L43" i="1"/>
  <c r="R43" i="1" s="1"/>
  <c r="L44" i="1"/>
  <c r="R44" i="1" s="1"/>
  <c r="L2" i="1"/>
  <c r="R2" i="1" s="1"/>
  <c r="M24" i="1"/>
  <c r="N24" i="1" s="1"/>
  <c r="N3" i="1"/>
  <c r="N4" i="1"/>
  <c r="N9" i="1"/>
  <c r="N10" i="1"/>
  <c r="N11" i="1"/>
  <c r="N16" i="1"/>
  <c r="N17" i="1"/>
  <c r="N20" i="1"/>
  <c r="N21" i="1"/>
  <c r="N25" i="1"/>
  <c r="N26" i="1"/>
  <c r="N27" i="1"/>
  <c r="N28" i="1"/>
  <c r="N29" i="1"/>
  <c r="N33" i="1"/>
  <c r="N34" i="1"/>
  <c r="N35" i="1"/>
  <c r="N37" i="1"/>
  <c r="N38" i="1"/>
  <c r="N41" i="1"/>
  <c r="N42" i="1"/>
  <c r="N43" i="1"/>
  <c r="N44" i="1"/>
  <c r="N2" i="1"/>
  <c r="M23" i="1"/>
  <c r="N23" i="1" s="1"/>
  <c r="M22" i="1"/>
  <c r="N22" i="1" s="1"/>
  <c r="M21" i="1"/>
  <c r="M20" i="1"/>
  <c r="M53" i="1"/>
  <c r="J53" i="1"/>
  <c r="O53" i="1" s="1"/>
  <c r="M19" i="1"/>
  <c r="N19" i="1" s="1"/>
  <c r="M18" i="1"/>
  <c r="N18" i="1" s="1"/>
  <c r="M17" i="1"/>
  <c r="M16" i="1"/>
  <c r="M15" i="1"/>
  <c r="N15" i="1" s="1"/>
  <c r="K45" i="1"/>
  <c r="J14" i="1"/>
  <c r="O14" i="1" s="1"/>
  <c r="M14" i="1"/>
  <c r="N14" i="1" s="1"/>
  <c r="M13" i="1"/>
  <c r="N13" i="1" s="1"/>
  <c r="M12" i="1"/>
  <c r="N12" i="1" s="1"/>
  <c r="M11" i="1"/>
  <c r="M10" i="1"/>
  <c r="M9" i="1"/>
  <c r="M8" i="1"/>
  <c r="N8" i="1" s="1"/>
  <c r="M3" i="1"/>
  <c r="M7" i="1"/>
  <c r="N7" i="1" s="1"/>
  <c r="M6" i="1"/>
  <c r="N6" i="1" s="1"/>
  <c r="M5" i="1"/>
  <c r="N5" i="1" s="1"/>
  <c r="M4" i="1"/>
  <c r="M2" i="1"/>
  <c r="L45" i="1" l="1"/>
  <c r="N45" i="1"/>
  <c r="M45" i="1"/>
  <c r="I45" i="1"/>
  <c r="J3" i="1"/>
  <c r="O3" i="1" s="1"/>
  <c r="J4" i="1"/>
  <c r="O4" i="1" s="1"/>
  <c r="J5" i="1"/>
  <c r="O5" i="1" s="1"/>
  <c r="J6" i="1"/>
  <c r="O6" i="1" s="1"/>
  <c r="J7" i="1"/>
  <c r="O7" i="1" s="1"/>
  <c r="J8" i="1"/>
  <c r="O8" i="1" s="1"/>
  <c r="J9" i="1"/>
  <c r="O9" i="1" s="1"/>
  <c r="J10" i="1"/>
  <c r="O10" i="1" s="1"/>
  <c r="J11" i="1"/>
  <c r="O11" i="1" s="1"/>
  <c r="J12" i="1"/>
  <c r="O12" i="1" s="1"/>
  <c r="J13" i="1"/>
  <c r="O13" i="1" s="1"/>
  <c r="J15" i="1"/>
  <c r="O15" i="1" s="1"/>
  <c r="J16" i="1"/>
  <c r="O16" i="1" s="1"/>
  <c r="J17" i="1"/>
  <c r="O17" i="1" s="1"/>
  <c r="J18" i="1"/>
  <c r="O18" i="1" s="1"/>
  <c r="J19" i="1"/>
  <c r="O19" i="1" s="1"/>
  <c r="J20" i="1"/>
  <c r="O20" i="1" s="1"/>
  <c r="J21" i="1"/>
  <c r="O21" i="1" s="1"/>
  <c r="J22" i="1"/>
  <c r="O22" i="1" s="1"/>
  <c r="J23" i="1"/>
  <c r="O23" i="1" s="1"/>
  <c r="J24" i="1"/>
  <c r="O24" i="1" s="1"/>
  <c r="J25" i="1"/>
  <c r="O25" i="1" s="1"/>
  <c r="J26" i="1"/>
  <c r="O26" i="1" s="1"/>
  <c r="J27" i="1"/>
  <c r="O27" i="1" s="1"/>
  <c r="J28" i="1"/>
  <c r="O28" i="1" s="1"/>
  <c r="J29" i="1"/>
  <c r="O29" i="1" s="1"/>
  <c r="J30" i="1"/>
  <c r="O30" i="1" s="1"/>
  <c r="J31" i="1"/>
  <c r="O31" i="1" s="1"/>
  <c r="J32" i="1"/>
  <c r="O32" i="1" s="1"/>
  <c r="J33" i="1"/>
  <c r="O33" i="1" s="1"/>
  <c r="J34" i="1"/>
  <c r="O34" i="1" s="1"/>
  <c r="J35" i="1"/>
  <c r="O35" i="1" s="1"/>
  <c r="J36" i="1"/>
  <c r="O36" i="1" s="1"/>
  <c r="J37" i="1"/>
  <c r="O37" i="1" s="1"/>
  <c r="J38" i="1"/>
  <c r="O38" i="1" s="1"/>
  <c r="J39" i="1"/>
  <c r="O39" i="1" s="1"/>
  <c r="J40" i="1"/>
  <c r="O40" i="1" s="1"/>
  <c r="J41" i="1"/>
  <c r="O41" i="1" s="1"/>
  <c r="J42" i="1"/>
  <c r="O42" i="1" s="1"/>
  <c r="J52" i="1"/>
  <c r="J43" i="1"/>
  <c r="O43" i="1" s="1"/>
  <c r="J44" i="1"/>
  <c r="O44" i="1" s="1"/>
  <c r="J2" i="1"/>
  <c r="O2" i="1" s="1"/>
  <c r="D45" i="1"/>
  <c r="D47" i="1" s="1"/>
  <c r="E45" i="1"/>
  <c r="F45" i="1"/>
  <c r="F47" i="1" s="1"/>
  <c r="G45" i="1"/>
  <c r="G47" i="1" s="1"/>
  <c r="H45" i="1"/>
  <c r="H47" i="1" s="1"/>
  <c r="O45" i="1" l="1"/>
  <c r="E48" i="1"/>
  <c r="R45" i="1"/>
  <c r="D48" i="1"/>
  <c r="O52" i="1"/>
  <c r="E47" i="1"/>
  <c r="J45" i="1"/>
  <c r="J47" i="1" s="1"/>
  <c r="H48" i="1"/>
  <c r="G48" i="1"/>
  <c r="F48" i="1"/>
  <c r="O47" i="1" l="1"/>
  <c r="J48" i="1"/>
  <c r="O48" i="1" l="1"/>
</calcChain>
</file>

<file path=xl/sharedStrings.xml><?xml version="1.0" encoding="utf-8"?>
<sst xmlns="http://schemas.openxmlformats.org/spreadsheetml/2006/main" count="265" uniqueCount="146">
  <si>
    <t>Country</t>
  </si>
  <si>
    <t>Terminal name</t>
  </si>
  <si>
    <t>m2</t>
  </si>
  <si>
    <t>tracks</t>
  </si>
  <si>
    <t>RMGs</t>
  </si>
  <si>
    <t>AT</t>
  </si>
  <si>
    <t>UTI 2016</t>
  </si>
  <si>
    <t>CH</t>
  </si>
  <si>
    <t>DE</t>
  </si>
  <si>
    <t>BE</t>
  </si>
  <si>
    <t>FR</t>
  </si>
  <si>
    <t>HU</t>
  </si>
  <si>
    <t>n/a</t>
  </si>
  <si>
    <t>IT</t>
  </si>
  <si>
    <t>PL</t>
  </si>
  <si>
    <t>RO</t>
  </si>
  <si>
    <t>GB</t>
  </si>
  <si>
    <t>SI</t>
  </si>
  <si>
    <t>RS</t>
  </si>
  <si>
    <t>UTI/Crane</t>
  </si>
  <si>
    <t>moves crane/day</t>
  </si>
  <si>
    <t>average:</t>
  </si>
  <si>
    <t>ln</t>
  </si>
  <si>
    <t>log10</t>
  </si>
  <si>
    <t>moves/UTI</t>
  </si>
  <si>
    <t>RMG handlings/hour</t>
  </si>
  <si>
    <t>RS handlings/hour</t>
  </si>
  <si>
    <t>working hours/year</t>
  </si>
  <si>
    <t>operating hours/week</t>
  </si>
  <si>
    <t>days per week</t>
  </si>
  <si>
    <t>operating days per year</t>
  </si>
  <si>
    <t>capacity of trains/day</t>
  </si>
  <si>
    <t>Row Labels</t>
  </si>
  <si>
    <t>Sum of CO2e CT [kg]</t>
  </si>
  <si>
    <t>Sum of CO2e Road [kg]</t>
  </si>
  <si>
    <t>Grand Total</t>
  </si>
  <si>
    <t>vlak</t>
  </si>
  <si>
    <t>Koper</t>
  </si>
  <si>
    <t>Divača</t>
  </si>
  <si>
    <t>t</t>
  </si>
  <si>
    <t>referenčna gorska proga</t>
  </si>
  <si>
    <t>ravnina</t>
  </si>
  <si>
    <t>∑</t>
  </si>
  <si>
    <t>1 radian</t>
  </si>
  <si>
    <t>kWh</t>
  </si>
  <si>
    <t>Delo A</t>
  </si>
  <si>
    <t>Napetost mreže U</t>
  </si>
  <si>
    <t>V</t>
  </si>
  <si>
    <t>obrem.tok I</t>
  </si>
  <si>
    <t>A</t>
  </si>
  <si>
    <t>čas t</t>
  </si>
  <si>
    <t>min</t>
  </si>
  <si>
    <t>hitrost v</t>
  </si>
  <si>
    <t>m/s</t>
  </si>
  <si>
    <t>km/h</t>
  </si>
  <si>
    <t>sila F</t>
  </si>
  <si>
    <t>N</t>
  </si>
  <si>
    <r>
      <t xml:space="preserve">naklon Kot </t>
    </r>
    <r>
      <rPr>
        <sz val="11"/>
        <color theme="1"/>
        <rFont val="Calibri"/>
        <family val="2"/>
        <charset val="238"/>
      </rPr>
      <t>α</t>
    </r>
  </si>
  <si>
    <t>°</t>
  </si>
  <si>
    <t>Radian</t>
  </si>
  <si>
    <t>r</t>
  </si>
  <si>
    <t>dolžina</t>
  </si>
  <si>
    <t>m</t>
  </si>
  <si>
    <t>vzpon</t>
  </si>
  <si>
    <t>‰</t>
  </si>
  <si>
    <t>na km</t>
  </si>
  <si>
    <t>na tono</t>
  </si>
  <si>
    <t>Relacija</t>
  </si>
  <si>
    <t>Rotterdam RSC</t>
  </si>
  <si>
    <t>šetvilo enot</t>
  </si>
  <si>
    <t>ITE</t>
  </si>
  <si>
    <t>povprečne vrednosti odseka</t>
  </si>
  <si>
    <t>avg.</t>
  </si>
  <si>
    <t>vlak:</t>
  </si>
  <si>
    <t>parcialna poraba</t>
  </si>
  <si>
    <t>kamion</t>
  </si>
  <si>
    <t>kWh na t na km</t>
  </si>
  <si>
    <t>km</t>
  </si>
  <si>
    <t>kWh/t</t>
  </si>
  <si>
    <t>kg CO2/ t</t>
  </si>
  <si>
    <t>kg CO2/kWh SI</t>
  </si>
  <si>
    <t>dostava first-mile</t>
  </si>
  <si>
    <t>poraba na 100 km</t>
  </si>
  <si>
    <t>D</t>
  </si>
  <si>
    <t>NL</t>
  </si>
  <si>
    <t>poraba</t>
  </si>
  <si>
    <t>dostava last-mile</t>
  </si>
  <si>
    <t>l diesel</t>
  </si>
  <si>
    <t>kg CO2/l diesel</t>
  </si>
  <si>
    <t>vlak sumarno izpust</t>
  </si>
  <si>
    <t>kg CO2</t>
  </si>
  <si>
    <t>kWh/ITE</t>
  </si>
  <si>
    <t>=</t>
  </si>
  <si>
    <t>kg CO2/ITE</t>
  </si>
  <si>
    <t>teža</t>
  </si>
  <si>
    <t>%</t>
  </si>
  <si>
    <t>savings</t>
  </si>
  <si>
    <t>diff [kg]</t>
  </si>
  <si>
    <t>price per lift</t>
  </si>
  <si>
    <t>deleted</t>
  </si>
  <si>
    <t>terminal 1</t>
  </si>
  <si>
    <t>terminal 2</t>
  </si>
  <si>
    <t>terminal 3</t>
  </si>
  <si>
    <t>terminal 4</t>
  </si>
  <si>
    <t>terminal 5</t>
  </si>
  <si>
    <t>terminal 6</t>
  </si>
  <si>
    <t>terminal 7</t>
  </si>
  <si>
    <t>terminal 8</t>
  </si>
  <si>
    <t>terminal 9</t>
  </si>
  <si>
    <t>terminal 10</t>
  </si>
  <si>
    <t>terminal 11</t>
  </si>
  <si>
    <t>terminal 12</t>
  </si>
  <si>
    <t>terminal 13</t>
  </si>
  <si>
    <t>terminal 14</t>
  </si>
  <si>
    <t>terminal 15</t>
  </si>
  <si>
    <t>terminal 16</t>
  </si>
  <si>
    <t>terminal 17</t>
  </si>
  <si>
    <t>terminal 18</t>
  </si>
  <si>
    <t>terminal 19</t>
  </si>
  <si>
    <t>terminal 20</t>
  </si>
  <si>
    <t>terminal 21</t>
  </si>
  <si>
    <t>terminal 22</t>
  </si>
  <si>
    <t>terminal 23</t>
  </si>
  <si>
    <t>terminal 24</t>
  </si>
  <si>
    <t>terminal 25</t>
  </si>
  <si>
    <t>terminal 26</t>
  </si>
  <si>
    <t>terminal 27</t>
  </si>
  <si>
    <t>terminal 28</t>
  </si>
  <si>
    <t>terminal 29</t>
  </si>
  <si>
    <t>terminal 30</t>
  </si>
  <si>
    <t>terminal 31</t>
  </si>
  <si>
    <t>terminal 32</t>
  </si>
  <si>
    <t>terminal 33</t>
  </si>
  <si>
    <t>terminal 34</t>
  </si>
  <si>
    <t>terminal 35</t>
  </si>
  <si>
    <t>terminal 36</t>
  </si>
  <si>
    <t>terminal 37</t>
  </si>
  <si>
    <t>terminal 38</t>
  </si>
  <si>
    <t>terminal 39</t>
  </si>
  <si>
    <t>terminal 40</t>
  </si>
  <si>
    <t>terminal 41</t>
  </si>
  <si>
    <t>terminal 42</t>
  </si>
  <si>
    <t>terminal 43</t>
  </si>
  <si>
    <t>terminal 44</t>
  </si>
  <si>
    <t>terminal 45</t>
  </si>
  <si>
    <t>terminals left out of researcs due lack of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</si>
</sst>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165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textRotation="90" wrapText="1"/>
    </xf>
    <xf numFmtId="0" fontId="0" fillId="0" borderId="0" xfId="0" applyAlignment="1">
      <alignment textRotation="90" wrapText="1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3"/>
    <xf numFmtId="0" fontId="4" fillId="0" borderId="0" xfId="3" applyFont="1"/>
    <xf numFmtId="0" fontId="1" fillId="0" borderId="0" xfId="3" applyAlignment="1">
      <alignment horizontal="center"/>
    </xf>
    <xf numFmtId="0" fontId="5" fillId="0" borderId="0" xfId="3" applyFont="1"/>
    <xf numFmtId="0" fontId="1" fillId="0" borderId="0" xfId="3" applyAlignment="1">
      <alignment horizontal="right"/>
    </xf>
    <xf numFmtId="1" fontId="1" fillId="0" borderId="0" xfId="3" applyNumberFormat="1"/>
    <xf numFmtId="166" fontId="1" fillId="0" borderId="0" xfId="3" applyNumberFormat="1"/>
    <xf numFmtId="0" fontId="6" fillId="0" borderId="4" xfId="3" applyFont="1" applyBorder="1"/>
    <xf numFmtId="0" fontId="6" fillId="0" borderId="5" xfId="3" applyFont="1" applyBorder="1"/>
    <xf numFmtId="0" fontId="1" fillId="0" borderId="6" xfId="3" applyBorder="1"/>
    <xf numFmtId="0" fontId="1" fillId="0" borderId="7" xfId="3" applyBorder="1"/>
    <xf numFmtId="0" fontId="1" fillId="0" borderId="0" xfId="3" applyBorder="1"/>
    <xf numFmtId="0" fontId="1" fillId="0" borderId="8" xfId="3" applyBorder="1"/>
    <xf numFmtId="0" fontId="4" fillId="0" borderId="1" xfId="3" applyFont="1" applyBorder="1"/>
    <xf numFmtId="0" fontId="4" fillId="0" borderId="3" xfId="3" applyFont="1" applyBorder="1"/>
    <xf numFmtId="0" fontId="1" fillId="0" borderId="1" xfId="3" applyBorder="1"/>
    <xf numFmtId="0" fontId="1" fillId="0" borderId="9" xfId="3" applyBorder="1" applyAlignment="1">
      <alignment horizontal="center"/>
    </xf>
    <xf numFmtId="0" fontId="1" fillId="0" borderId="0" xfId="3" applyBorder="1" applyAlignment="1">
      <alignment horizontal="center"/>
    </xf>
    <xf numFmtId="0" fontId="1" fillId="0" borderId="10" xfId="3" applyBorder="1"/>
    <xf numFmtId="0" fontId="1" fillId="0" borderId="11" xfId="3" applyBorder="1"/>
    <xf numFmtId="0" fontId="1" fillId="0" borderId="12" xfId="3" applyBorder="1"/>
    <xf numFmtId="0" fontId="0" fillId="0" borderId="0" xfId="0" pivotButton="1"/>
    <xf numFmtId="9" fontId="0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[paterns in terminals (Autosaved).xlsx]co2e calc!PivotTable6</c:name>
    <c:fmtId val="4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</c:pivotFmt>
      <c:pivotFmt>
        <c:idx val="3"/>
      </c:pivotFmt>
    </c:pivotFmts>
    <c:plotArea>
      <c:layout>
        <c:manualLayout>
          <c:layoutTarget val="inner"/>
          <c:xMode val="edge"/>
          <c:yMode val="edge"/>
          <c:x val="4.7431415638141718E-2"/>
          <c:y val="5.1343723787103931E-2"/>
          <c:w val="0.78935910354252425"/>
          <c:h val="0.68782071055551042"/>
        </c:manualLayout>
      </c:layout>
      <c:lineChart>
        <c:grouping val="standard"/>
        <c:varyColors val="0"/>
        <c:ser>
          <c:idx val="0"/>
          <c:order val="0"/>
          <c:tx>
            <c:strRef>
              <c:f>'co2e calc'!$B$5</c:f>
              <c:strCache>
                <c:ptCount val="1"/>
                <c:pt idx="0">
                  <c:v>Sum of CO2e CT [kg]</c:v>
                </c:pt>
              </c:strCache>
            </c:strRef>
          </c:tx>
          <c:cat>
            <c:strRef>
              <c:f>'co2e calc'!$A$6:$A$16</c:f>
              <c:strCache>
                <c:ptCount val="10"/>
                <c:pt idx="0">
                  <c:v>125</c:v>
                </c:pt>
                <c:pt idx="1">
                  <c:v>298</c:v>
                </c:pt>
                <c:pt idx="2">
                  <c:v>370</c:v>
                </c:pt>
                <c:pt idx="3">
                  <c:v>386</c:v>
                </c:pt>
                <c:pt idx="4">
                  <c:v>522</c:v>
                </c:pt>
                <c:pt idx="5">
                  <c:v>536</c:v>
                </c:pt>
                <c:pt idx="6">
                  <c:v>568</c:v>
                </c:pt>
                <c:pt idx="7">
                  <c:v>752</c:v>
                </c:pt>
                <c:pt idx="8">
                  <c:v>804</c:v>
                </c:pt>
                <c:pt idx="9">
                  <c:v>1820</c:v>
                </c:pt>
              </c:strCache>
            </c:strRef>
          </c:cat>
          <c:val>
            <c:numRef>
              <c:f>'co2e calc'!$B$6:$B$16</c:f>
              <c:numCache>
                <c:formatCode>General</c:formatCode>
                <c:ptCount val="10"/>
                <c:pt idx="0">
                  <c:v>117.47</c:v>
                </c:pt>
                <c:pt idx="1">
                  <c:v>155.94</c:v>
                </c:pt>
                <c:pt idx="2">
                  <c:v>283.25</c:v>
                </c:pt>
                <c:pt idx="3">
                  <c:v>266.45</c:v>
                </c:pt>
                <c:pt idx="4">
                  <c:v>319.82</c:v>
                </c:pt>
                <c:pt idx="5">
                  <c:v>274.94</c:v>
                </c:pt>
                <c:pt idx="6">
                  <c:v>242.36</c:v>
                </c:pt>
                <c:pt idx="7">
                  <c:v>250.12</c:v>
                </c:pt>
                <c:pt idx="8">
                  <c:v>434.15</c:v>
                </c:pt>
                <c:pt idx="9">
                  <c:v>993.57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'co2e calc'!$C$5</c:f>
              <c:strCache>
                <c:ptCount val="1"/>
                <c:pt idx="0">
                  <c:v>Sum of CO2e Road [kg]</c:v>
                </c:pt>
              </c:strCache>
            </c:strRef>
          </c:tx>
          <c:cat>
            <c:strRef>
              <c:f>'co2e calc'!$A$6:$A$16</c:f>
              <c:strCache>
                <c:ptCount val="10"/>
                <c:pt idx="0">
                  <c:v>125</c:v>
                </c:pt>
                <c:pt idx="1">
                  <c:v>298</c:v>
                </c:pt>
                <c:pt idx="2">
                  <c:v>370</c:v>
                </c:pt>
                <c:pt idx="3">
                  <c:v>386</c:v>
                </c:pt>
                <c:pt idx="4">
                  <c:v>522</c:v>
                </c:pt>
                <c:pt idx="5">
                  <c:v>536</c:v>
                </c:pt>
                <c:pt idx="6">
                  <c:v>568</c:v>
                </c:pt>
                <c:pt idx="7">
                  <c:v>752</c:v>
                </c:pt>
                <c:pt idx="8">
                  <c:v>804</c:v>
                </c:pt>
                <c:pt idx="9">
                  <c:v>1820</c:v>
                </c:pt>
              </c:strCache>
            </c:strRef>
          </c:cat>
          <c:val>
            <c:numRef>
              <c:f>'co2e calc'!$C$6:$C$16</c:f>
              <c:numCache>
                <c:formatCode>General</c:formatCode>
                <c:ptCount val="10"/>
                <c:pt idx="0">
                  <c:v>103.28</c:v>
                </c:pt>
                <c:pt idx="1">
                  <c:v>246.21</c:v>
                </c:pt>
                <c:pt idx="2">
                  <c:v>305.69</c:v>
                </c:pt>
                <c:pt idx="3">
                  <c:v>318.91000000000003</c:v>
                </c:pt>
                <c:pt idx="4">
                  <c:v>431.28</c:v>
                </c:pt>
                <c:pt idx="5">
                  <c:v>442.84</c:v>
                </c:pt>
                <c:pt idx="6">
                  <c:v>469.28</c:v>
                </c:pt>
                <c:pt idx="7">
                  <c:v>621.29999999999995</c:v>
                </c:pt>
                <c:pt idx="8">
                  <c:v>664.26</c:v>
                </c:pt>
                <c:pt idx="9">
                  <c:v>1503.68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4128"/>
        <c:axId val="159825920"/>
      </c:lineChart>
      <c:catAx>
        <c:axId val="15982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9825920"/>
        <c:crosses val="autoZero"/>
        <c:auto val="1"/>
        <c:lblAlgn val="ctr"/>
        <c:lblOffset val="100"/>
        <c:noMultiLvlLbl val="0"/>
      </c:catAx>
      <c:valAx>
        <c:axId val="15982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82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682008054153838"/>
          <c:y val="5.9540005952864121E-2"/>
          <c:w val="0.14600047391448856"/>
          <c:h val="8.71054198122141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izkoriščenost dvigal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terminals!$C$2:$C$44</c:f>
              <c:strCache>
                <c:ptCount val="43"/>
                <c:pt idx="0">
                  <c:v>terminal 1</c:v>
                </c:pt>
                <c:pt idx="1">
                  <c:v>terminal 2</c:v>
                </c:pt>
                <c:pt idx="2">
                  <c:v>terminal 3</c:v>
                </c:pt>
                <c:pt idx="3">
                  <c:v>terminal 4</c:v>
                </c:pt>
                <c:pt idx="4">
                  <c:v>terminal 5</c:v>
                </c:pt>
                <c:pt idx="5">
                  <c:v>terminal 6</c:v>
                </c:pt>
                <c:pt idx="6">
                  <c:v>terminal 7</c:v>
                </c:pt>
                <c:pt idx="7">
                  <c:v>terminal 8</c:v>
                </c:pt>
                <c:pt idx="8">
                  <c:v>terminal 9</c:v>
                </c:pt>
                <c:pt idx="9">
                  <c:v>terminal 10</c:v>
                </c:pt>
                <c:pt idx="10">
                  <c:v>terminal 11</c:v>
                </c:pt>
                <c:pt idx="11">
                  <c:v>terminal 12</c:v>
                </c:pt>
                <c:pt idx="12">
                  <c:v>terminal 13</c:v>
                </c:pt>
                <c:pt idx="13">
                  <c:v>terminal 14</c:v>
                </c:pt>
                <c:pt idx="14">
                  <c:v>terminal 15</c:v>
                </c:pt>
                <c:pt idx="15">
                  <c:v>terminal 16</c:v>
                </c:pt>
                <c:pt idx="16">
                  <c:v>terminal 17</c:v>
                </c:pt>
                <c:pt idx="17">
                  <c:v>terminal 18</c:v>
                </c:pt>
                <c:pt idx="18">
                  <c:v>terminal 19</c:v>
                </c:pt>
                <c:pt idx="19">
                  <c:v>terminal 20</c:v>
                </c:pt>
                <c:pt idx="20">
                  <c:v>terminal 21</c:v>
                </c:pt>
                <c:pt idx="21">
                  <c:v>terminal 22</c:v>
                </c:pt>
                <c:pt idx="22">
                  <c:v>terminal 23</c:v>
                </c:pt>
                <c:pt idx="23">
                  <c:v>terminal 24</c:v>
                </c:pt>
                <c:pt idx="24">
                  <c:v>terminal 25</c:v>
                </c:pt>
                <c:pt idx="25">
                  <c:v>terminal 26</c:v>
                </c:pt>
                <c:pt idx="26">
                  <c:v>terminal 27</c:v>
                </c:pt>
                <c:pt idx="27">
                  <c:v>terminal 28</c:v>
                </c:pt>
                <c:pt idx="28">
                  <c:v>terminal 29</c:v>
                </c:pt>
                <c:pt idx="29">
                  <c:v>terminal 30</c:v>
                </c:pt>
                <c:pt idx="30">
                  <c:v>terminal 31</c:v>
                </c:pt>
                <c:pt idx="31">
                  <c:v>terminal 32</c:v>
                </c:pt>
                <c:pt idx="32">
                  <c:v>terminal 33</c:v>
                </c:pt>
                <c:pt idx="33">
                  <c:v>terminal 34</c:v>
                </c:pt>
                <c:pt idx="34">
                  <c:v>terminal 35</c:v>
                </c:pt>
                <c:pt idx="35">
                  <c:v>terminal 36</c:v>
                </c:pt>
                <c:pt idx="36">
                  <c:v>terminal 37</c:v>
                </c:pt>
                <c:pt idx="37">
                  <c:v>terminal 38</c:v>
                </c:pt>
                <c:pt idx="38">
                  <c:v>terminal 39</c:v>
                </c:pt>
                <c:pt idx="39">
                  <c:v>terminal 40</c:v>
                </c:pt>
                <c:pt idx="40">
                  <c:v>terminal 41</c:v>
                </c:pt>
                <c:pt idx="41">
                  <c:v>terminal 42</c:v>
                </c:pt>
                <c:pt idx="42">
                  <c:v>terminal 43</c:v>
                </c:pt>
              </c:strCache>
            </c:strRef>
          </c:cat>
          <c:val>
            <c:numRef>
              <c:f>terminals!$O$2:$O$44</c:f>
              <c:numCache>
                <c:formatCode>General</c:formatCode>
                <c:ptCount val="43"/>
                <c:pt idx="0">
                  <c:v>17</c:v>
                </c:pt>
                <c:pt idx="1">
                  <c:v>94</c:v>
                </c:pt>
                <c:pt idx="2">
                  <c:v>354</c:v>
                </c:pt>
                <c:pt idx="3">
                  <c:v>138</c:v>
                </c:pt>
                <c:pt idx="4">
                  <c:v>563</c:v>
                </c:pt>
                <c:pt idx="5">
                  <c:v>471</c:v>
                </c:pt>
                <c:pt idx="6">
                  <c:v>670</c:v>
                </c:pt>
                <c:pt idx="7">
                  <c:v>135</c:v>
                </c:pt>
                <c:pt idx="8">
                  <c:v>420</c:v>
                </c:pt>
                <c:pt idx="9">
                  <c:v>204</c:v>
                </c:pt>
                <c:pt idx="10">
                  <c:v>170</c:v>
                </c:pt>
                <c:pt idx="11">
                  <c:v>6</c:v>
                </c:pt>
                <c:pt idx="12">
                  <c:v>128</c:v>
                </c:pt>
                <c:pt idx="13">
                  <c:v>224</c:v>
                </c:pt>
                <c:pt idx="14">
                  <c:v>855</c:v>
                </c:pt>
                <c:pt idx="15">
                  <c:v>179</c:v>
                </c:pt>
                <c:pt idx="16">
                  <c:v>471</c:v>
                </c:pt>
                <c:pt idx="17">
                  <c:v>739</c:v>
                </c:pt>
                <c:pt idx="18">
                  <c:v>453</c:v>
                </c:pt>
                <c:pt idx="19">
                  <c:v>314</c:v>
                </c:pt>
                <c:pt idx="20">
                  <c:v>128</c:v>
                </c:pt>
                <c:pt idx="21">
                  <c:v>76</c:v>
                </c:pt>
                <c:pt idx="22">
                  <c:v>107</c:v>
                </c:pt>
                <c:pt idx="23">
                  <c:v>16</c:v>
                </c:pt>
                <c:pt idx="24">
                  <c:v>209</c:v>
                </c:pt>
                <c:pt idx="25">
                  <c:v>130</c:v>
                </c:pt>
                <c:pt idx="26">
                  <c:v>82</c:v>
                </c:pt>
                <c:pt idx="27">
                  <c:v>60</c:v>
                </c:pt>
                <c:pt idx="28">
                  <c:v>237</c:v>
                </c:pt>
                <c:pt idx="29">
                  <c:v>876</c:v>
                </c:pt>
                <c:pt idx="30">
                  <c:v>159</c:v>
                </c:pt>
                <c:pt idx="31">
                  <c:v>341</c:v>
                </c:pt>
                <c:pt idx="32">
                  <c:v>236</c:v>
                </c:pt>
                <c:pt idx="33">
                  <c:v>96</c:v>
                </c:pt>
                <c:pt idx="34">
                  <c:v>23</c:v>
                </c:pt>
                <c:pt idx="35">
                  <c:v>448</c:v>
                </c:pt>
                <c:pt idx="36">
                  <c:v>11</c:v>
                </c:pt>
                <c:pt idx="37">
                  <c:v>321</c:v>
                </c:pt>
                <c:pt idx="38">
                  <c:v>42</c:v>
                </c:pt>
                <c:pt idx="39">
                  <c:v>65</c:v>
                </c:pt>
                <c:pt idx="40">
                  <c:v>162</c:v>
                </c:pt>
                <c:pt idx="41">
                  <c:v>464</c:v>
                </c:pt>
                <c:pt idx="42">
                  <c:v>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61248"/>
        <c:axId val="182263168"/>
      </c:lineChart>
      <c:catAx>
        <c:axId val="1822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2263168"/>
        <c:crosses val="autoZero"/>
        <c:auto val="1"/>
        <c:lblAlgn val="ctr"/>
        <c:lblOffset val="100"/>
        <c:noMultiLvlLbl val="0"/>
      </c:catAx>
      <c:valAx>
        <c:axId val="18226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226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0</xdr:row>
      <xdr:rowOff>57150</xdr:rowOff>
    </xdr:from>
    <xdr:to>
      <xdr:col>18</xdr:col>
      <xdr:colOff>0</xdr:colOff>
      <xdr:row>0</xdr:row>
      <xdr:rowOff>142875</xdr:rowOff>
    </xdr:to>
    <xdr:sp macro="" textlink="">
      <xdr:nvSpPr>
        <xdr:cNvPr id="2" name="Right Arrow 1"/>
        <xdr:cNvSpPr/>
      </xdr:nvSpPr>
      <xdr:spPr>
        <a:xfrm>
          <a:off x="2409824" y="57150"/>
          <a:ext cx="12401551" cy="85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11</xdr:col>
      <xdr:colOff>200025</xdr:colOff>
      <xdr:row>13</xdr:row>
      <xdr:rowOff>161925</xdr:rowOff>
    </xdr:from>
    <xdr:to>
      <xdr:col>11</xdr:col>
      <xdr:colOff>552450</xdr:colOff>
      <xdr:row>17</xdr:row>
      <xdr:rowOff>171450</xdr:rowOff>
    </xdr:to>
    <xdr:sp macro="" textlink="">
      <xdr:nvSpPr>
        <xdr:cNvPr id="3" name="Up Arrow 2"/>
        <xdr:cNvSpPr/>
      </xdr:nvSpPr>
      <xdr:spPr>
        <a:xfrm>
          <a:off x="9267825" y="2638425"/>
          <a:ext cx="352425" cy="771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180975</xdr:rowOff>
    </xdr:from>
    <xdr:to>
      <xdr:col>13</xdr:col>
      <xdr:colOff>333374</xdr:colOff>
      <xdr:row>59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0.92526</cdr:y>
    </cdr:from>
    <cdr:to>
      <cdr:x>0.05506</cdr:x>
      <cdr:y>0.96649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838950"/>
          <a:ext cx="597893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l-SI" sz="1100"/>
            <a:t>[km]</a:t>
          </a:r>
        </a:p>
        <a:p xmlns:a="http://schemas.openxmlformats.org/drawingml/2006/main">
          <a:endParaRPr lang="sl-SI" sz="1100"/>
        </a:p>
      </cdr:txBody>
    </cdr:sp>
  </cdr:relSizeAnchor>
  <cdr:relSizeAnchor xmlns:cdr="http://schemas.openxmlformats.org/drawingml/2006/chartDrawing">
    <cdr:from>
      <cdr:x>0.00512</cdr:x>
      <cdr:y>0.63415</cdr:y>
    </cdr:from>
    <cdr:to>
      <cdr:x>0.032</cdr:x>
      <cdr:y>0.73312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161925" y="4905375"/>
          <a:ext cx="73150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l-SI" sz="1100"/>
            <a:t>[kg]</a:t>
          </a:r>
        </a:p>
      </cdr:txBody>
    </cdr:sp>
  </cdr:relSizeAnchor>
  <cdr:relSizeAnchor xmlns:cdr="http://schemas.openxmlformats.org/drawingml/2006/chartDrawing">
    <cdr:from>
      <cdr:x>1.86478E-7</cdr:x>
      <cdr:y>0.23131</cdr:y>
    </cdr:from>
    <cdr:to>
      <cdr:x>0.06039</cdr:x>
      <cdr:y>0.38724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252411" y="1962151"/>
          <a:ext cx="1152525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l-SI" sz="1100"/>
            <a:t>CO</a:t>
          </a:r>
          <a:r>
            <a:rPr lang="sl-SI" sz="1100" baseline="-25000"/>
            <a:t>2</a:t>
          </a:r>
          <a:r>
            <a:rPr lang="sl-SI" sz="1100"/>
            <a:t>e</a:t>
          </a:r>
        </a:p>
      </cdr:txBody>
    </cdr:sp>
  </cdr:relSizeAnchor>
  <cdr:relSizeAnchor xmlns:cdr="http://schemas.openxmlformats.org/drawingml/2006/chartDrawing">
    <cdr:from>
      <cdr:x>0</cdr:x>
      <cdr:y>0.87027</cdr:y>
    </cdr:from>
    <cdr:to>
      <cdr:x>0.09029</cdr:x>
      <cdr:y>0.91151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432550"/>
          <a:ext cx="98041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/>
            <a:t>CT Route</a:t>
          </a:r>
        </a:p>
        <a:p xmlns:a="http://schemas.openxmlformats.org/drawingml/2006/main">
          <a:endParaRPr lang="sl-SI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53</xdr:row>
      <xdr:rowOff>100012</xdr:rowOff>
    </xdr:from>
    <xdr:to>
      <xdr:col>18</xdr:col>
      <xdr:colOff>361949</xdr:colOff>
      <xdr:row>66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py%20of%20paterns%20in%20terminals%20(novi%20&#269;lanek_kalk%20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518.46734722222" createdVersion="4" refreshedVersion="4" minRefreshableVersion="3" recordCount="10">
  <cacheSource type="worksheet">
    <worksheetSource ref="A1:J11" sheet="graf primerjave" r:id="rId2"/>
  </cacheSource>
  <cacheFields count="10">
    <cacheField name="POL" numFmtId="0">
      <sharedItems count="10">
        <s v="TKK Srpenica"/>
        <s v="Koper"/>
        <s v="Yulon,Letališka, Ljubljana"/>
        <s v="Količevo, Domžale"/>
        <s v="Port Koper"/>
        <s v="Belgrade"/>
        <s v="Koper Port"/>
        <s v="Ljubljana, Brnčičeva 51, Črnuče"/>
        <s v="Budapest, center"/>
        <s v="Rijeka port"/>
      </sharedItems>
    </cacheField>
    <cacheField name="departure terminal" numFmtId="0">
      <sharedItems count="5">
        <s v="Ljubljana KT"/>
        <s v="Koper Luka KT"/>
        <s v="ZIT Belgrad"/>
        <s v="Bilk Kombiterminal"/>
        <s v="Rijeka Brajdica"/>
      </sharedItems>
    </cacheField>
    <cacheField name="CT route" numFmtId="0">
      <sharedItems count="3">
        <s v="direct"/>
        <s v="via LJU/MUE/DUIS"/>
        <s v="via LJU"/>
      </sharedItems>
    </cacheField>
    <cacheField name="combined transport [km]" numFmtId="0">
      <sharedItems containsSemiMixedTypes="0" containsString="0" containsNumber="1" containsInteger="1" minValue="186" maxValue="2009"/>
    </cacheField>
    <cacheField name="CO2e CT [kg]" numFmtId="0">
      <sharedItems containsSemiMixedTypes="0" containsString="0" containsNumber="1" minValue="117.47" maxValue="993.57"/>
    </cacheField>
    <cacheField name="Road route" numFmtId="0">
      <sharedItems count="1">
        <s v="direct"/>
      </sharedItems>
    </cacheField>
    <cacheField name="main road" numFmtId="0">
      <sharedItems containsSemiMixedTypes="0" containsString="0" containsNumber="1" containsInteger="1" minValue="125" maxValue="1820" count="10">
        <n v="386"/>
        <n v="568"/>
        <n v="370"/>
        <n v="125"/>
        <n v="298"/>
        <n v="1820"/>
        <n v="752"/>
        <n v="536"/>
        <n v="804"/>
        <n v="522"/>
      </sharedItems>
    </cacheField>
    <cacheField name="CO2e Road [kg]" numFmtId="0">
      <sharedItems containsSemiMixedTypes="0" containsString="0" containsNumber="1" minValue="103.28" maxValue="1503.68"/>
    </cacheField>
    <cacheField name="arrival terminal" numFmtId="0">
      <sharedItems count="9">
        <s v="München Riem"/>
        <s v="Bilk Kombiterminal Budapest"/>
        <s v="Wuen Süd"/>
        <s v="Koper Luka KT"/>
        <s v="Maribor Tezno"/>
        <s v="Rotterrdam RSC"/>
        <s v="Zilina, SK"/>
        <s v="Belgrade ZIT"/>
        <s v="Verona QE"/>
      </sharedItems>
    </cacheField>
    <cacheField name="POD" numFmtId="0">
      <sharedItems count="10">
        <s v="Munchen, city center"/>
        <s v="Vaci Ut., Budapest"/>
        <s v="Wien Kledering"/>
        <s v="Port Koper"/>
        <s v="MORZ, PUNTIGAMER STRASSE 61, 8041 GRAZ"/>
        <s v="Rott port"/>
        <s v="KMS, zilina"/>
        <s v="Belgrade 3-jump, Pančevo"/>
        <s v="Verona, center"/>
        <s v="München, cen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n v="489"/>
    <n v="266.45"/>
    <x v="0"/>
    <x v="0"/>
    <n v="318.91000000000003"/>
    <x v="0"/>
    <x v="0"/>
  </r>
  <r>
    <x v="1"/>
    <x v="1"/>
    <x v="0"/>
    <n v="731"/>
    <n v="242.36"/>
    <x v="0"/>
    <x v="1"/>
    <n v="469.28"/>
    <x v="1"/>
    <x v="1"/>
  </r>
  <r>
    <x v="2"/>
    <x v="0"/>
    <x v="0"/>
    <n v="480"/>
    <n v="283.25"/>
    <x v="0"/>
    <x v="2"/>
    <n v="305.69"/>
    <x v="2"/>
    <x v="2"/>
  </r>
  <r>
    <x v="3"/>
    <x v="0"/>
    <x v="0"/>
    <n v="186"/>
    <n v="117.47"/>
    <x v="0"/>
    <x v="3"/>
    <n v="103.28"/>
    <x v="3"/>
    <x v="3"/>
  </r>
  <r>
    <x v="4"/>
    <x v="1"/>
    <x v="0"/>
    <n v="376"/>
    <n v="155.94"/>
    <x v="0"/>
    <x v="4"/>
    <n v="246.21"/>
    <x v="4"/>
    <x v="4"/>
  </r>
  <r>
    <x v="5"/>
    <x v="2"/>
    <x v="1"/>
    <n v="2009"/>
    <n v="993.57"/>
    <x v="0"/>
    <x v="5"/>
    <n v="1503.68"/>
    <x v="5"/>
    <x v="5"/>
  </r>
  <r>
    <x v="6"/>
    <x v="1"/>
    <x v="0"/>
    <n v="823"/>
    <n v="250.12"/>
    <x v="0"/>
    <x v="6"/>
    <n v="621.29999999999995"/>
    <x v="6"/>
    <x v="6"/>
  </r>
  <r>
    <x v="7"/>
    <x v="0"/>
    <x v="0"/>
    <n v="584"/>
    <n v="274.94"/>
    <x v="0"/>
    <x v="7"/>
    <n v="442.84"/>
    <x v="7"/>
    <x v="7"/>
  </r>
  <r>
    <x v="8"/>
    <x v="3"/>
    <x v="2"/>
    <n v="886"/>
    <n v="434.15"/>
    <x v="0"/>
    <x v="8"/>
    <n v="664.26"/>
    <x v="8"/>
    <x v="8"/>
  </r>
  <r>
    <x v="9"/>
    <x v="4"/>
    <x v="2"/>
    <n v="568"/>
    <n v="319.82"/>
    <x v="0"/>
    <x v="9"/>
    <n v="431.28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2">
  <location ref="A5:C16" firstHeaderRow="0" firstDataRow="1" firstDataCol="1"/>
  <pivotFields count="10">
    <pivotField showAll="0"/>
    <pivotField axis="axisRow" showAll="0">
      <items count="6">
        <item x="3"/>
        <item x="1"/>
        <item x="0"/>
        <item x="4"/>
        <item x="2"/>
        <item t="default"/>
      </items>
    </pivotField>
    <pivotField axis="axisRow" showAll="0">
      <items count="4">
        <item x="0"/>
        <item sd="0" x="2"/>
        <item x="1"/>
        <item t="default"/>
      </items>
    </pivotField>
    <pivotField showAll="0"/>
    <pivotField dataField="1" showAll="0"/>
    <pivotField showAll="0"/>
    <pivotField axis="axisRow" showAll="0">
      <items count="11">
        <item sd="0" x="3"/>
        <item sd="0" x="4"/>
        <item sd="0" x="2"/>
        <item sd="0" x="0"/>
        <item sd="0" x="9"/>
        <item sd="0" x="7"/>
        <item sd="0" x="1"/>
        <item sd="0" x="6"/>
        <item sd="0" x="8"/>
        <item sd="0" x="5"/>
        <item t="default"/>
      </items>
    </pivotField>
    <pivotField dataField="1" showAll="0"/>
    <pivotField axis="axisRow" showAll="0" sortType="ascending">
      <items count="10">
        <item x="7"/>
        <item x="1"/>
        <item x="3"/>
        <item x="4"/>
        <item x="0"/>
        <item x="5"/>
        <item x="8"/>
        <item x="2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</pivotFields>
  <rowFields count="4">
    <field x="6"/>
    <field x="2"/>
    <field x="8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2e CT [kg]" fld="4" baseField="0" baseItem="0"/>
    <dataField name="Sum of CO2e Road [kg]" fld="7" baseField="0" baseItem="0"/>
  </dataField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A6" sqref="A6"/>
    </sheetView>
  </sheetViews>
  <sheetFormatPr defaultRowHeight="15" x14ac:dyDescent="0.25"/>
  <cols>
    <col min="1" max="1" width="17" style="10" bestFit="1" customWidth="1"/>
    <col min="2" max="2" width="9.140625" style="10"/>
    <col min="3" max="3" width="12" style="10" bestFit="1" customWidth="1"/>
    <col min="4" max="5" width="12.7109375" style="10" bestFit="1" customWidth="1"/>
    <col min="6" max="6" width="12" style="10" bestFit="1" customWidth="1"/>
    <col min="7" max="7" width="12.7109375" style="10" bestFit="1" customWidth="1"/>
    <col min="8" max="8" width="12" style="10" bestFit="1" customWidth="1"/>
    <col min="9" max="9" width="11.7109375" style="10" bestFit="1" customWidth="1"/>
    <col min="10" max="12" width="12" style="10" bestFit="1" customWidth="1"/>
    <col min="13" max="13" width="12.7109375" style="10" bestFit="1" customWidth="1"/>
    <col min="14" max="16" width="12" style="10" bestFit="1" customWidth="1"/>
    <col min="17" max="18" width="12.7109375" style="10" bestFit="1" customWidth="1"/>
    <col min="19" max="19" width="14.5703125" style="10" bestFit="1" customWidth="1"/>
    <col min="20" max="20" width="12" style="10" bestFit="1" customWidth="1"/>
    <col min="21" max="16384" width="9.140625" style="10"/>
  </cols>
  <sheetData>
    <row r="1" spans="1:20" x14ac:dyDescent="0.25">
      <c r="A1" s="10" t="s">
        <v>36</v>
      </c>
      <c r="C1" s="11" t="s">
        <v>37</v>
      </c>
      <c r="S1" s="11" t="s">
        <v>38</v>
      </c>
    </row>
    <row r="2" spans="1:20" x14ac:dyDescent="0.25">
      <c r="A2" s="10">
        <v>1560</v>
      </c>
      <c r="B2" s="10" t="s">
        <v>39</v>
      </c>
      <c r="D2" s="12" t="s">
        <v>40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0" t="s">
        <v>41</v>
      </c>
      <c r="T2" s="13" t="s">
        <v>42</v>
      </c>
    </row>
    <row r="3" spans="1:20" x14ac:dyDescent="0.25">
      <c r="A3" s="14" t="s">
        <v>43</v>
      </c>
      <c r="B3" s="10">
        <v>57.295999999999999</v>
      </c>
      <c r="T3" s="10" t="s">
        <v>44</v>
      </c>
    </row>
    <row r="4" spans="1:20" x14ac:dyDescent="0.25">
      <c r="A4" s="10" t="s">
        <v>45</v>
      </c>
      <c r="B4" s="10" t="s">
        <v>44</v>
      </c>
      <c r="C4" s="10">
        <f>C5*C6*C7/60000</f>
        <v>33.305283305283311</v>
      </c>
      <c r="D4" s="10">
        <f t="shared" ref="D4:S4" si="0">D5*D6*D7/60000</f>
        <v>22.865311461245845</v>
      </c>
      <c r="E4" s="10">
        <f t="shared" si="0"/>
        <v>47.685365186337194</v>
      </c>
      <c r="F4" s="10">
        <f t="shared" si="0"/>
        <v>9.1657591657591659</v>
      </c>
      <c r="G4" s="10">
        <f t="shared" si="0"/>
        <v>242.34428624571007</v>
      </c>
      <c r="H4" s="10">
        <f t="shared" si="0"/>
        <v>254.41356469148246</v>
      </c>
      <c r="I4" s="10">
        <f t="shared" si="0"/>
        <v>99.310357241428974</v>
      </c>
      <c r="J4" s="10">
        <f t="shared" si="0"/>
        <v>367.48626010991904</v>
      </c>
      <c r="K4" s="10">
        <f t="shared" si="0"/>
        <v>45.629282517130065</v>
      </c>
      <c r="L4" s="10">
        <f t="shared" si="0"/>
        <v>77.266341869265048</v>
      </c>
      <c r="M4" s="10">
        <f t="shared" si="0"/>
        <v>191.55356757145944</v>
      </c>
      <c r="N4" s="10">
        <f t="shared" si="0"/>
        <v>99.40974472204222</v>
      </c>
      <c r="O4" s="10">
        <f t="shared" si="0"/>
        <v>10.254760254760255</v>
      </c>
      <c r="P4" s="10">
        <f t="shared" si="0"/>
        <v>-7.2435765567464161</v>
      </c>
      <c r="Q4" s="10">
        <f t="shared" si="0"/>
        <v>76.036234144936586</v>
      </c>
      <c r="R4" s="10">
        <f t="shared" si="0"/>
        <v>-131.92921771687088</v>
      </c>
      <c r="S4" s="10">
        <f t="shared" si="0"/>
        <v>0.31557500702858748</v>
      </c>
      <c r="T4" s="11">
        <f>SUM(C4:R4,S4)</f>
        <v>1437.8688992201712</v>
      </c>
    </row>
    <row r="5" spans="1:20" x14ac:dyDescent="0.25">
      <c r="A5" s="10" t="s">
        <v>46</v>
      </c>
      <c r="B5" s="10" t="s">
        <v>47</v>
      </c>
      <c r="C5" s="10">
        <v>3000</v>
      </c>
      <c r="D5" s="10">
        <v>3000</v>
      </c>
      <c r="E5" s="10">
        <v>3000</v>
      </c>
      <c r="F5" s="10">
        <v>3000</v>
      </c>
      <c r="G5" s="10">
        <v>3000</v>
      </c>
      <c r="H5" s="10">
        <v>3000</v>
      </c>
      <c r="I5" s="10">
        <v>3000</v>
      </c>
      <c r="J5" s="10">
        <v>3000</v>
      </c>
      <c r="K5" s="10">
        <v>3000</v>
      </c>
      <c r="L5" s="10">
        <v>3000</v>
      </c>
      <c r="M5" s="10">
        <v>3000</v>
      </c>
      <c r="N5" s="10">
        <v>3000</v>
      </c>
      <c r="O5" s="10">
        <v>3000</v>
      </c>
      <c r="P5" s="10">
        <v>3000</v>
      </c>
      <c r="Q5" s="10">
        <v>3000</v>
      </c>
      <c r="R5" s="10">
        <v>3000</v>
      </c>
      <c r="S5" s="10">
        <v>3000</v>
      </c>
    </row>
    <row r="6" spans="1:20" x14ac:dyDescent="0.25">
      <c r="A6" s="10" t="s">
        <v>48</v>
      </c>
      <c r="B6" s="10" t="s">
        <v>49</v>
      </c>
      <c r="C6" s="10">
        <f>ROUND(C9*C10/1000,1)</f>
        <v>1210</v>
      </c>
      <c r="D6" s="10">
        <f t="shared" ref="D6:R6" si="1">ROUND(D9*D10/1000,1)</f>
        <v>1814.7</v>
      </c>
      <c r="E6" s="10">
        <f t="shared" si="1"/>
        <v>1814.5</v>
      </c>
      <c r="F6" s="10">
        <f t="shared" si="1"/>
        <v>1210</v>
      </c>
      <c r="G6" s="10">
        <f t="shared" si="1"/>
        <v>1934.9</v>
      </c>
      <c r="H6" s="10">
        <f t="shared" si="1"/>
        <v>2355.6999999999998</v>
      </c>
      <c r="I6" s="10">
        <f t="shared" si="1"/>
        <v>1451.9</v>
      </c>
      <c r="J6" s="10">
        <f t="shared" si="1"/>
        <v>2355.6999999999998</v>
      </c>
      <c r="K6" s="10">
        <f t="shared" si="1"/>
        <v>544.5</v>
      </c>
      <c r="L6" s="10">
        <f t="shared" si="1"/>
        <v>2355.6999999999998</v>
      </c>
      <c r="M6" s="10">
        <f t="shared" si="1"/>
        <v>1934.9</v>
      </c>
      <c r="N6" s="10">
        <f t="shared" si="1"/>
        <v>2355.6999999999998</v>
      </c>
      <c r="O6" s="10">
        <f t="shared" si="1"/>
        <v>1210</v>
      </c>
      <c r="P6" s="10">
        <f t="shared" si="1"/>
        <v>-211.8</v>
      </c>
      <c r="Q6" s="10">
        <f t="shared" si="1"/>
        <v>1814.7</v>
      </c>
      <c r="R6" s="10">
        <f t="shared" si="1"/>
        <v>-1814.7</v>
      </c>
      <c r="S6" s="10">
        <f>ROUND(S9*S10/1000,1)</f>
        <v>0.1</v>
      </c>
    </row>
    <row r="7" spans="1:20" x14ac:dyDescent="0.25">
      <c r="A7" s="10" t="s">
        <v>50</v>
      </c>
      <c r="B7" s="10" t="s">
        <v>51</v>
      </c>
      <c r="C7" s="10">
        <f>C13/C8/60</f>
        <v>0.55050055050055058</v>
      </c>
      <c r="D7" s="10">
        <f t="shared" ref="D7:S7" si="2">D13/D8/60</f>
        <v>0.25200100800403202</v>
      </c>
      <c r="E7" s="10">
        <f t="shared" si="2"/>
        <v>0.52560336386152873</v>
      </c>
      <c r="F7" s="10">
        <f t="shared" si="2"/>
        <v>0.1515001515001515</v>
      </c>
      <c r="G7" s="10">
        <f t="shared" si="2"/>
        <v>2.5049799601603189</v>
      </c>
      <c r="H7" s="10">
        <f t="shared" si="2"/>
        <v>2.1599827201382391</v>
      </c>
      <c r="I7" s="10">
        <f t="shared" si="2"/>
        <v>1.3680054720218882</v>
      </c>
      <c r="J7" s="10">
        <f t="shared" si="2"/>
        <v>3.1199750401996784</v>
      </c>
      <c r="K7" s="10">
        <f t="shared" si="2"/>
        <v>1.6760067040268161</v>
      </c>
      <c r="L7" s="10">
        <f t="shared" si="2"/>
        <v>0.65599475204198376</v>
      </c>
      <c r="M7" s="10">
        <f t="shared" si="2"/>
        <v>1.979984160126719</v>
      </c>
      <c r="N7" s="10">
        <f t="shared" si="2"/>
        <v>0.84399324805401565</v>
      </c>
      <c r="O7" s="10">
        <f t="shared" si="2"/>
        <v>0.1695001695001695</v>
      </c>
      <c r="P7" s="10">
        <f t="shared" si="2"/>
        <v>0.68400156343214502</v>
      </c>
      <c r="Q7" s="10">
        <f t="shared" si="2"/>
        <v>0.83800335201340803</v>
      </c>
      <c r="R7" s="10">
        <f t="shared" si="2"/>
        <v>1.4540058160232643</v>
      </c>
      <c r="S7" s="10">
        <f t="shared" si="2"/>
        <v>63.115001405717493</v>
      </c>
      <c r="T7" s="10">
        <f>SUM(S7,C7:R7)</f>
        <v>82.049039437322392</v>
      </c>
    </row>
    <row r="8" spans="1:20" x14ac:dyDescent="0.25">
      <c r="A8" s="10" t="s">
        <v>52</v>
      </c>
      <c r="B8" s="10" t="s">
        <v>53</v>
      </c>
      <c r="C8" s="10">
        <f>ROUND(C9/3.6,4)</f>
        <v>11.1111</v>
      </c>
      <c r="D8" s="10">
        <f t="shared" ref="D8:S8" si="3">ROUND(D9/3.6,4)</f>
        <v>8.3332999999999995</v>
      </c>
      <c r="E8" s="10">
        <f t="shared" si="3"/>
        <v>6.9443999999999999</v>
      </c>
      <c r="F8" s="10">
        <f t="shared" si="3"/>
        <v>11.1111</v>
      </c>
      <c r="G8" s="10">
        <f t="shared" si="3"/>
        <v>5.5556000000000001</v>
      </c>
      <c r="H8" s="10">
        <f t="shared" si="3"/>
        <v>4.1666999999999996</v>
      </c>
      <c r="I8" s="10">
        <f t="shared" si="3"/>
        <v>8.3332999999999995</v>
      </c>
      <c r="J8" s="10">
        <f t="shared" si="3"/>
        <v>4.1666999999999996</v>
      </c>
      <c r="K8" s="10">
        <f t="shared" si="3"/>
        <v>8.3332999999999995</v>
      </c>
      <c r="L8" s="10">
        <f t="shared" si="3"/>
        <v>4.1666999999999996</v>
      </c>
      <c r="M8" s="10">
        <f t="shared" si="3"/>
        <v>5.5556000000000001</v>
      </c>
      <c r="N8" s="10">
        <f t="shared" si="3"/>
        <v>4.1666999999999996</v>
      </c>
      <c r="O8" s="10">
        <f t="shared" si="3"/>
        <v>11.1111</v>
      </c>
      <c r="P8" s="10">
        <f t="shared" si="3"/>
        <v>9.7222000000000008</v>
      </c>
      <c r="Q8" s="10">
        <f t="shared" si="3"/>
        <v>8.3332999999999995</v>
      </c>
      <c r="R8" s="10">
        <f t="shared" si="3"/>
        <v>8.3332999999999995</v>
      </c>
      <c r="S8" s="10">
        <f t="shared" si="3"/>
        <v>9.7222000000000008</v>
      </c>
    </row>
    <row r="9" spans="1:20" x14ac:dyDescent="0.25">
      <c r="A9" s="10" t="s">
        <v>52</v>
      </c>
      <c r="B9" s="10" t="s">
        <v>54</v>
      </c>
      <c r="C9" s="10">
        <v>40</v>
      </c>
      <c r="D9" s="10">
        <v>30</v>
      </c>
      <c r="E9" s="10">
        <v>25</v>
      </c>
      <c r="F9" s="10">
        <v>40</v>
      </c>
      <c r="G9" s="10">
        <v>20</v>
      </c>
      <c r="H9" s="10">
        <v>15</v>
      </c>
      <c r="I9" s="10">
        <v>30</v>
      </c>
      <c r="J9" s="10">
        <v>15</v>
      </c>
      <c r="K9" s="10">
        <v>30</v>
      </c>
      <c r="L9" s="10">
        <v>15</v>
      </c>
      <c r="M9" s="10">
        <v>20</v>
      </c>
      <c r="N9" s="10">
        <v>15</v>
      </c>
      <c r="O9" s="10">
        <v>40</v>
      </c>
      <c r="P9" s="10">
        <v>35</v>
      </c>
      <c r="Q9" s="10">
        <v>30</v>
      </c>
      <c r="R9" s="10">
        <v>30</v>
      </c>
      <c r="S9" s="10">
        <v>35</v>
      </c>
    </row>
    <row r="10" spans="1:20" x14ac:dyDescent="0.25">
      <c r="A10" s="10" t="s">
        <v>55</v>
      </c>
      <c r="B10" s="10" t="s">
        <v>56</v>
      </c>
      <c r="C10" s="10">
        <f t="shared" ref="C10:R10" si="4">SIN(C12)*$A$2*1000</f>
        <v>30250.361168513526</v>
      </c>
      <c r="D10" s="10">
        <f t="shared" si="4"/>
        <v>60489.346500891603</v>
      </c>
      <c r="E10" s="10">
        <f t="shared" si="4"/>
        <v>72579.207929231081</v>
      </c>
      <c r="F10" s="10">
        <f t="shared" si="4"/>
        <v>30250.361168513526</v>
      </c>
      <c r="G10" s="10">
        <f t="shared" si="4"/>
        <v>96745.10219620273</v>
      </c>
      <c r="H10" s="10">
        <f t="shared" si="4"/>
        <v>157045.25940808232</v>
      </c>
      <c r="I10" s="10">
        <f t="shared" si="4"/>
        <v>48395.845393648618</v>
      </c>
      <c r="J10" s="10">
        <f t="shared" si="4"/>
        <v>157045.25940808232</v>
      </c>
      <c r="K10" s="10">
        <f t="shared" si="4"/>
        <v>18150.944804454241</v>
      </c>
      <c r="L10" s="10">
        <f t="shared" si="4"/>
        <v>157045.25940808232</v>
      </c>
      <c r="M10" s="10">
        <f t="shared" si="4"/>
        <v>96745.10219620273</v>
      </c>
      <c r="N10" s="10">
        <f t="shared" si="4"/>
        <v>157045.25940808232</v>
      </c>
      <c r="O10" s="10">
        <f t="shared" si="4"/>
        <v>30250.361168513526</v>
      </c>
      <c r="P10" s="10">
        <f t="shared" si="4"/>
        <v>-6050.4362875663282</v>
      </c>
      <c r="Q10" s="10">
        <f t="shared" si="4"/>
        <v>60489.346500891603</v>
      </c>
      <c r="R10" s="10">
        <f t="shared" si="4"/>
        <v>-60489.346500891603</v>
      </c>
      <c r="S10" s="10">
        <f>SIN(S12)*$A$2*1000</f>
        <v>2.7227031555417627</v>
      </c>
    </row>
    <row r="11" spans="1:20" x14ac:dyDescent="0.25">
      <c r="A11" s="10" t="s">
        <v>57</v>
      </c>
      <c r="B11" s="10" t="s">
        <v>58</v>
      </c>
      <c r="C11" s="15">
        <f>(C14/10)*100/45</f>
        <v>1.1111111111111112</v>
      </c>
      <c r="D11" s="15">
        <f t="shared" ref="D11:R11" si="5">(D14/10)*100/45</f>
        <v>2.2222222222222223</v>
      </c>
      <c r="E11" s="15">
        <f t="shared" si="5"/>
        <v>2.6666666666666665</v>
      </c>
      <c r="F11" s="15">
        <f t="shared" si="5"/>
        <v>1.1111111111111112</v>
      </c>
      <c r="G11" s="15">
        <f t="shared" si="5"/>
        <v>3.5555555555555554</v>
      </c>
      <c r="H11" s="15">
        <f t="shared" si="5"/>
        <v>5.7777777777777777</v>
      </c>
      <c r="I11" s="15">
        <f t="shared" si="5"/>
        <v>1.7777777777777777</v>
      </c>
      <c r="J11" s="15">
        <f t="shared" si="5"/>
        <v>5.7777777777777777</v>
      </c>
      <c r="K11" s="15">
        <f t="shared" si="5"/>
        <v>0.66666666666666663</v>
      </c>
      <c r="L11" s="15">
        <f t="shared" si="5"/>
        <v>5.7777777777777777</v>
      </c>
      <c r="M11" s="15">
        <f t="shared" si="5"/>
        <v>3.5555555555555554</v>
      </c>
      <c r="N11" s="15">
        <f t="shared" si="5"/>
        <v>5.7777777777777777</v>
      </c>
      <c r="O11" s="15">
        <f t="shared" si="5"/>
        <v>1.1111111111111112</v>
      </c>
      <c r="P11" s="15">
        <f t="shared" si="5"/>
        <v>-0.22222222222222221</v>
      </c>
      <c r="Q11" s="15">
        <f t="shared" si="5"/>
        <v>2.2222222222222223</v>
      </c>
      <c r="R11" s="15">
        <f t="shared" si="5"/>
        <v>-2.2222222222222223</v>
      </c>
      <c r="S11" s="15">
        <v>1E-4</v>
      </c>
    </row>
    <row r="12" spans="1:20" x14ac:dyDescent="0.25">
      <c r="A12" s="10" t="s">
        <v>59</v>
      </c>
      <c r="B12" s="10" t="s">
        <v>60</v>
      </c>
      <c r="C12" s="16">
        <f t="shared" ref="C12:R12" si="6">C11/$B$3</f>
        <v>1.9392472617828664E-2</v>
      </c>
      <c r="D12" s="16">
        <f t="shared" si="6"/>
        <v>3.8784945235657328E-2</v>
      </c>
      <c r="E12" s="16">
        <f t="shared" si="6"/>
        <v>4.6541934282788792E-2</v>
      </c>
      <c r="F12" s="16">
        <f t="shared" si="6"/>
        <v>1.9392472617828664E-2</v>
      </c>
      <c r="G12" s="16">
        <f t="shared" si="6"/>
        <v>6.2055912377051721E-2</v>
      </c>
      <c r="H12" s="16">
        <f t="shared" si="6"/>
        <v>0.10084085761270906</v>
      </c>
      <c r="I12" s="16">
        <f t="shared" si="6"/>
        <v>3.102795618852586E-2</v>
      </c>
      <c r="J12" s="16">
        <f t="shared" si="6"/>
        <v>0.10084085761270906</v>
      </c>
      <c r="K12" s="16">
        <f t="shared" si="6"/>
        <v>1.1635483570697198E-2</v>
      </c>
      <c r="L12" s="16">
        <f t="shared" si="6"/>
        <v>0.10084085761270906</v>
      </c>
      <c r="M12" s="16">
        <f t="shared" si="6"/>
        <v>6.2055912377051721E-2</v>
      </c>
      <c r="N12" s="16">
        <f t="shared" si="6"/>
        <v>0.10084085761270906</v>
      </c>
      <c r="O12" s="16">
        <f t="shared" si="6"/>
        <v>1.9392472617828664E-2</v>
      </c>
      <c r="P12" s="16">
        <f t="shared" si="6"/>
        <v>-3.8784945235657326E-3</v>
      </c>
      <c r="Q12" s="16">
        <f t="shared" si="6"/>
        <v>3.8784945235657328E-2</v>
      </c>
      <c r="R12" s="16">
        <f t="shared" si="6"/>
        <v>-3.8784945235657328E-2</v>
      </c>
      <c r="S12" s="16">
        <f>S11/$B$3</f>
        <v>1.7453225356045799E-6</v>
      </c>
    </row>
    <row r="13" spans="1:20" x14ac:dyDescent="0.25">
      <c r="A13" s="10" t="s">
        <v>61</v>
      </c>
      <c r="B13" s="10" t="s">
        <v>62</v>
      </c>
      <c r="C13" s="10">
        <v>367</v>
      </c>
      <c r="D13" s="10">
        <v>126</v>
      </c>
      <c r="E13" s="10">
        <v>219</v>
      </c>
      <c r="F13" s="10">
        <v>101</v>
      </c>
      <c r="G13" s="10">
        <v>835</v>
      </c>
      <c r="H13" s="10">
        <v>540</v>
      </c>
      <c r="I13" s="10">
        <v>684</v>
      </c>
      <c r="J13" s="10">
        <v>780</v>
      </c>
      <c r="K13" s="10">
        <v>838</v>
      </c>
      <c r="L13" s="10">
        <v>164</v>
      </c>
      <c r="M13" s="10">
        <v>660</v>
      </c>
      <c r="N13" s="10">
        <v>211</v>
      </c>
      <c r="O13" s="10">
        <v>113</v>
      </c>
      <c r="P13" s="10">
        <v>399</v>
      </c>
      <c r="Q13" s="10">
        <v>419</v>
      </c>
      <c r="R13" s="10">
        <v>727</v>
      </c>
      <c r="S13" s="10">
        <f>44000-M29</f>
        <v>36817</v>
      </c>
      <c r="T13" s="11">
        <f>SUM(S13,M29)</f>
        <v>44000</v>
      </c>
    </row>
    <row r="14" spans="1:20" x14ac:dyDescent="0.25">
      <c r="A14" s="10" t="s">
        <v>63</v>
      </c>
      <c r="B14" s="13" t="s">
        <v>64</v>
      </c>
      <c r="C14" s="10">
        <v>5</v>
      </c>
      <c r="D14" s="10">
        <v>10</v>
      </c>
      <c r="E14" s="10">
        <v>12</v>
      </c>
      <c r="F14" s="10">
        <v>5</v>
      </c>
      <c r="G14" s="10">
        <v>16</v>
      </c>
      <c r="H14" s="10">
        <v>26</v>
      </c>
      <c r="I14" s="10">
        <v>8</v>
      </c>
      <c r="J14" s="10">
        <v>26</v>
      </c>
      <c r="K14" s="10">
        <v>3</v>
      </c>
      <c r="L14" s="10">
        <v>26</v>
      </c>
      <c r="M14" s="10">
        <v>16</v>
      </c>
      <c r="N14" s="10">
        <v>26</v>
      </c>
      <c r="O14" s="10">
        <v>5</v>
      </c>
      <c r="P14" s="10">
        <v>-1</v>
      </c>
      <c r="Q14" s="10">
        <v>10</v>
      </c>
      <c r="R14" s="10">
        <v>-10</v>
      </c>
      <c r="S14" s="10">
        <v>0</v>
      </c>
    </row>
    <row r="16" spans="1:20" x14ac:dyDescent="0.25">
      <c r="S16" s="10" t="s">
        <v>65</v>
      </c>
      <c r="T16" s="10">
        <f>T4/T13</f>
        <v>3.2678838618640252E-2</v>
      </c>
    </row>
    <row r="17" spans="1:21" x14ac:dyDescent="0.25">
      <c r="S17" s="10" t="s">
        <v>66</v>
      </c>
      <c r="T17" s="10">
        <f>T4/A2</f>
        <v>0.92171083283344313</v>
      </c>
    </row>
    <row r="18" spans="1:21" ht="15.75" thickBot="1" x14ac:dyDescent="0.3">
      <c r="A18" s="10" t="s">
        <v>67</v>
      </c>
      <c r="B18" s="10" t="s">
        <v>37</v>
      </c>
      <c r="C18" s="10" t="s">
        <v>68</v>
      </c>
    </row>
    <row r="19" spans="1:21" ht="15.75" thickBot="1" x14ac:dyDescent="0.3">
      <c r="A19" s="10" t="s">
        <v>69</v>
      </c>
      <c r="B19" s="10">
        <v>25</v>
      </c>
      <c r="C19" s="10" t="s">
        <v>70</v>
      </c>
      <c r="K19" s="17" t="s">
        <v>71</v>
      </c>
      <c r="L19" s="18"/>
      <c r="M19" s="19" t="s">
        <v>72</v>
      </c>
    </row>
    <row r="20" spans="1:21" ht="15.75" thickBot="1" x14ac:dyDescent="0.3">
      <c r="A20" s="10" t="s">
        <v>73</v>
      </c>
      <c r="B20" s="10">
        <v>1242</v>
      </c>
      <c r="C20" s="10" t="s">
        <v>39</v>
      </c>
      <c r="D20" s="10" t="s">
        <v>74</v>
      </c>
      <c r="F20" s="10" t="s">
        <v>75</v>
      </c>
      <c r="G20" s="10">
        <v>40</v>
      </c>
      <c r="H20" s="10" t="s">
        <v>39</v>
      </c>
      <c r="K20" s="20" t="s">
        <v>45</v>
      </c>
      <c r="L20" s="21"/>
      <c r="M20" s="22">
        <f>M21*M22*M23/60000</f>
        <v>1489.5426283382224</v>
      </c>
      <c r="S20" s="23" t="s">
        <v>76</v>
      </c>
      <c r="T20" s="24">
        <f>T17*T16</f>
        <v>3.0120439559216592E-2</v>
      </c>
    </row>
    <row r="21" spans="1:21" ht="15.75" thickBot="1" x14ac:dyDescent="0.3">
      <c r="B21" s="10">
        <f>SUM(B23:B26)</f>
        <v>1455</v>
      </c>
      <c r="C21" s="10" t="s">
        <v>77</v>
      </c>
      <c r="D21" s="10" t="s">
        <v>78</v>
      </c>
      <c r="E21" s="10" t="s">
        <v>79</v>
      </c>
      <c r="G21" s="10">
        <v>1386</v>
      </c>
      <c r="H21" s="10" t="s">
        <v>77</v>
      </c>
      <c r="K21" s="20" t="s">
        <v>46</v>
      </c>
      <c r="L21" s="21"/>
      <c r="M21" s="22">
        <v>3000</v>
      </c>
      <c r="S21" s="25" t="s">
        <v>80</v>
      </c>
      <c r="T21" s="26">
        <v>0.40500000000000003</v>
      </c>
    </row>
    <row r="22" spans="1:21" x14ac:dyDescent="0.25">
      <c r="A22" s="10" t="s">
        <v>81</v>
      </c>
      <c r="C22" s="10" t="s">
        <v>77</v>
      </c>
      <c r="K22" s="20" t="s">
        <v>48</v>
      </c>
      <c r="L22" s="21"/>
      <c r="M22" s="22">
        <f>ROUND(M25*M26/1000,1)</f>
        <v>1857.7</v>
      </c>
      <c r="S22" s="21"/>
      <c r="T22" s="27"/>
    </row>
    <row r="23" spans="1:21" x14ac:dyDescent="0.25">
      <c r="A23" s="10" t="s">
        <v>17</v>
      </c>
      <c r="B23" s="10">
        <v>225</v>
      </c>
      <c r="C23" s="10">
        <v>0.40500000000000003</v>
      </c>
      <c r="D23" s="10">
        <f>$T$20*B23</f>
        <v>6.7770989008237335</v>
      </c>
      <c r="E23" s="10">
        <f>D23*C23</f>
        <v>2.7447250548336122</v>
      </c>
      <c r="G23" s="10">
        <v>26</v>
      </c>
      <c r="H23" s="10" t="s">
        <v>82</v>
      </c>
      <c r="K23" s="20" t="s">
        <v>50</v>
      </c>
      <c r="L23" s="21"/>
      <c r="M23" s="22">
        <f>M29/M24/60</f>
        <v>16.036417379966867</v>
      </c>
      <c r="S23" s="21"/>
      <c r="T23" s="27"/>
    </row>
    <row r="24" spans="1:21" x14ac:dyDescent="0.25">
      <c r="A24" s="10" t="s">
        <v>5</v>
      </c>
      <c r="B24" s="10">
        <v>214</v>
      </c>
      <c r="C24" s="10">
        <v>0.21</v>
      </c>
      <c r="D24" s="10">
        <f t="shared" ref="D24:D26" si="7">$T$20*B24</f>
        <v>6.4457740656723503</v>
      </c>
      <c r="E24" s="10">
        <f t="shared" ref="E24:E26" si="8">D24*C24</f>
        <v>1.3536125537911936</v>
      </c>
      <c r="K24" s="20" t="s">
        <v>52</v>
      </c>
      <c r="L24" s="21"/>
      <c r="M24" s="22">
        <f>ROUND(M25/3.6,4)</f>
        <v>7.4653</v>
      </c>
      <c r="S24" s="21"/>
      <c r="T24" s="27"/>
    </row>
    <row r="25" spans="1:21" x14ac:dyDescent="0.25">
      <c r="A25" s="10" t="s">
        <v>83</v>
      </c>
      <c r="B25" s="10">
        <v>869</v>
      </c>
      <c r="C25" s="10">
        <v>0.58299999999999996</v>
      </c>
      <c r="D25" s="10">
        <f t="shared" si="7"/>
        <v>26.174661976959218</v>
      </c>
      <c r="E25" s="10">
        <f t="shared" si="8"/>
        <v>15.259827932567223</v>
      </c>
      <c r="K25" s="20" t="s">
        <v>52</v>
      </c>
      <c r="L25" s="21"/>
      <c r="M25" s="22">
        <f>AVERAGE(C9:R9)</f>
        <v>26.875</v>
      </c>
      <c r="S25" s="21"/>
      <c r="T25" s="27"/>
    </row>
    <row r="26" spans="1:21" x14ac:dyDescent="0.25">
      <c r="A26" s="10" t="s">
        <v>84</v>
      </c>
      <c r="B26" s="10">
        <v>147</v>
      </c>
      <c r="C26" s="10">
        <v>0.46</v>
      </c>
      <c r="D26" s="10">
        <f t="shared" si="7"/>
        <v>4.4277046152048394</v>
      </c>
      <c r="E26" s="10">
        <f t="shared" si="8"/>
        <v>2.036744122994226</v>
      </c>
      <c r="K26" s="20" t="s">
        <v>55</v>
      </c>
      <c r="L26" s="21"/>
      <c r="M26" s="22">
        <f>AVERAGE(C10:R10)</f>
        <v>69124.202116933404</v>
      </c>
      <c r="S26" s="21"/>
      <c r="T26" s="27"/>
    </row>
    <row r="27" spans="1:21" x14ac:dyDescent="0.25">
      <c r="A27" s="10" t="s">
        <v>85</v>
      </c>
      <c r="B27" s="10">
        <f>D27*B20</f>
        <v>54430.947531855891</v>
      </c>
      <c r="C27" s="10" t="s">
        <v>44</v>
      </c>
      <c r="D27" s="10">
        <f>SUM(D23:D26)</f>
        <v>43.825239558660137</v>
      </c>
      <c r="E27" s="10">
        <f>SUM(E23:E26)</f>
        <v>21.394909664186255</v>
      </c>
      <c r="F27" s="10" t="s">
        <v>85</v>
      </c>
      <c r="K27" s="20" t="s">
        <v>57</v>
      </c>
      <c r="L27" s="21"/>
      <c r="M27" s="22">
        <f>AVERAGE(C11:R11)</f>
        <v>2.541666666666667</v>
      </c>
    </row>
    <row r="28" spans="1:21" x14ac:dyDescent="0.25">
      <c r="A28" s="10" t="s">
        <v>86</v>
      </c>
      <c r="C28" s="10" t="s">
        <v>77</v>
      </c>
      <c r="G28" s="10">
        <f>G21/100*G23</f>
        <v>360.36</v>
      </c>
      <c r="H28" s="10" t="s">
        <v>87</v>
      </c>
      <c r="K28" s="20" t="s">
        <v>59</v>
      </c>
      <c r="L28" s="21"/>
      <c r="M28" s="22">
        <f>AVERAGE(C12:R12)</f>
        <v>4.4360281113283072E-2</v>
      </c>
    </row>
    <row r="29" spans="1:21" x14ac:dyDescent="0.25">
      <c r="B29" s="10">
        <f>B19</f>
        <v>25</v>
      </c>
      <c r="C29" s="10" t="s">
        <v>70</v>
      </c>
      <c r="G29" s="10">
        <v>3.24</v>
      </c>
      <c r="H29" s="10" t="s">
        <v>88</v>
      </c>
      <c r="K29" s="20" t="s">
        <v>61</v>
      </c>
      <c r="L29" s="21"/>
      <c r="M29" s="22">
        <f>SUM(C13:R13)</f>
        <v>7183</v>
      </c>
      <c r="S29" s="14" t="s">
        <v>89</v>
      </c>
      <c r="T29" s="11">
        <f>T30*T20*T31*T21</f>
        <v>837.32412339457392</v>
      </c>
      <c r="U29" s="10" t="s">
        <v>90</v>
      </c>
    </row>
    <row r="30" spans="1:21" ht="15.75" thickBot="1" x14ac:dyDescent="0.3">
      <c r="B30" s="10">
        <f>B27/B29</f>
        <v>2177.2379012742358</v>
      </c>
      <c r="C30" s="10" t="s">
        <v>91</v>
      </c>
      <c r="G30" s="10" t="s">
        <v>92</v>
      </c>
      <c r="K30" s="28" t="s">
        <v>63</v>
      </c>
      <c r="L30" s="29"/>
      <c r="M30" s="30">
        <f>AVERAGE(C14:R14)</f>
        <v>11.4375</v>
      </c>
      <c r="S30" s="14" t="s">
        <v>77</v>
      </c>
      <c r="T30" s="10">
        <v>44</v>
      </c>
    </row>
    <row r="31" spans="1:21" x14ac:dyDescent="0.25">
      <c r="B31" s="10">
        <f>E27*B20/B29</f>
        <v>1062.8991121167733</v>
      </c>
      <c r="C31" s="10" t="s">
        <v>93</v>
      </c>
      <c r="G31" s="10">
        <f>G28*G29</f>
        <v>1167.5664000000002</v>
      </c>
      <c r="H31" s="10" t="s">
        <v>93</v>
      </c>
      <c r="S31" s="14" t="s">
        <v>94</v>
      </c>
      <c r="T31" s="10">
        <f>A2</f>
        <v>1560</v>
      </c>
    </row>
  </sheetData>
  <mergeCells count="1">
    <mergeCell ref="D2:R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6"/>
  <sheetViews>
    <sheetView workbookViewId="0">
      <selection activeCell="E16" sqref="E16"/>
    </sheetView>
  </sheetViews>
  <sheetFormatPr defaultRowHeight="15" x14ac:dyDescent="0.25"/>
  <cols>
    <col min="1" max="1" width="13.140625" customWidth="1"/>
    <col min="2" max="2" width="19" customWidth="1"/>
    <col min="3" max="3" width="21.42578125" customWidth="1"/>
    <col min="4" max="4" width="7" customWidth="1"/>
    <col min="5" max="5" width="8" bestFit="1" customWidth="1"/>
    <col min="6" max="6" width="5.28515625" bestFit="1" customWidth="1"/>
    <col min="7" max="11" width="7" customWidth="1"/>
    <col min="12" max="12" width="21.42578125" bestFit="1" customWidth="1"/>
    <col min="13" max="18" width="7" customWidth="1"/>
    <col min="19" max="19" width="6" customWidth="1"/>
    <col min="20" max="20" width="7" customWidth="1"/>
    <col min="21" max="21" width="8" customWidth="1"/>
    <col min="22" max="22" width="24" bestFit="1" customWidth="1"/>
    <col min="23" max="23" width="26.42578125" bestFit="1" customWidth="1"/>
  </cols>
  <sheetData>
    <row r="4" spans="1:6" x14ac:dyDescent="0.25">
      <c r="E4" s="34" t="s">
        <v>96</v>
      </c>
      <c r="F4" s="34"/>
    </row>
    <row r="5" spans="1:6" x14ac:dyDescent="0.25">
      <c r="A5" s="31" t="s">
        <v>32</v>
      </c>
      <c r="B5" t="s">
        <v>33</v>
      </c>
      <c r="C5" t="s">
        <v>34</v>
      </c>
      <c r="E5" s="35" t="s">
        <v>97</v>
      </c>
      <c r="F5" s="33" t="s">
        <v>95</v>
      </c>
    </row>
    <row r="6" spans="1:6" x14ac:dyDescent="0.25">
      <c r="A6" s="8">
        <v>125</v>
      </c>
      <c r="B6" s="9">
        <v>117.47</v>
      </c>
      <c r="C6" s="9">
        <v>103.28</v>
      </c>
      <c r="E6">
        <f>GETPIVOTDATA("Sum of CO2e Road [kg]",$A$5,"main road",125)-GETPIVOTDATA("Sum of CO2e CT [kg]",$A$5,"main road",125)</f>
        <v>-14.189999999999998</v>
      </c>
      <c r="F6" s="32">
        <f>1-(GETPIVOTDATA("Sum of CO2e CT [kg]",$A$5,"main road",125)/GETPIVOTDATA("Sum of CO2e Road [kg]",$A$5,"main road",125))</f>
        <v>-0.13739349341595664</v>
      </c>
    </row>
    <row r="7" spans="1:6" x14ac:dyDescent="0.25">
      <c r="A7" s="8">
        <v>298</v>
      </c>
      <c r="B7" s="9">
        <v>155.94</v>
      </c>
      <c r="C7" s="9">
        <v>246.21</v>
      </c>
      <c r="E7">
        <f>GETPIVOTDATA("Sum of CO2e Road [kg]",$A$5,"main road",298)-GETPIVOTDATA("Sum of CO2e CT [kg]",$A$5,"main road",298)</f>
        <v>90.27000000000001</v>
      </c>
      <c r="F7" s="32">
        <f>1-(GETPIVOTDATA("Sum of CO2e CT [kg]",$A$5,"main road",298)/GETPIVOTDATA("Sum of CO2e Road [kg]",$A$5,"main road",298))</f>
        <v>0.36663823565249176</v>
      </c>
    </row>
    <row r="8" spans="1:6" x14ac:dyDescent="0.25">
      <c r="A8" s="8">
        <v>370</v>
      </c>
      <c r="B8" s="9">
        <v>283.25</v>
      </c>
      <c r="C8" s="9">
        <v>305.69</v>
      </c>
      <c r="E8">
        <f>GETPIVOTDATA("Sum of CO2e Road [kg]",$A$5,"main road",370)-GETPIVOTDATA("Sum of CO2e CT [kg]",$A$5,"main road",370)</f>
        <v>22.439999999999998</v>
      </c>
      <c r="F8" s="32">
        <f>1-(GETPIVOTDATA("Sum of CO2e CT [kg]",$A$5,"main road",370)/GETPIVOTDATA("Sum of CO2e Road [kg]",$A$5,"main road",370))</f>
        <v>7.3407700611730853E-2</v>
      </c>
    </row>
    <row r="9" spans="1:6" x14ac:dyDescent="0.25">
      <c r="A9" s="8">
        <v>386</v>
      </c>
      <c r="B9" s="9">
        <v>266.45</v>
      </c>
      <c r="C9" s="9">
        <v>318.91000000000003</v>
      </c>
      <c r="E9">
        <f>GETPIVOTDATA("Sum of CO2e Road [kg]",$A$5,"main road",386)-GETPIVOTDATA("Sum of CO2e CT [kg]",$A$5,"main road",386)</f>
        <v>52.460000000000036</v>
      </c>
      <c r="F9" s="32">
        <f>1-(GETPIVOTDATA("Sum of CO2e CT [kg]",$A$5,"main road",386)/GETPIVOTDATA("Sum of CO2e Road [kg]",$A$5,"main road",386))</f>
        <v>0.16449782070176544</v>
      </c>
    </row>
    <row r="10" spans="1:6" x14ac:dyDescent="0.25">
      <c r="A10" s="8">
        <v>522</v>
      </c>
      <c r="B10" s="9">
        <v>319.82</v>
      </c>
      <c r="C10" s="9">
        <v>431.28</v>
      </c>
      <c r="E10">
        <f>GETPIVOTDATA("Sum of CO2e Road [kg]",$A$5,"main road",522)-GETPIVOTDATA("Sum of CO2e CT [kg]",$A$5,"main road",522)</f>
        <v>111.45999999999998</v>
      </c>
      <c r="F10" s="32">
        <f>1-(GETPIVOTDATA("Sum of CO2e CT [kg]",$A$5,"main road",522)/GETPIVOTDATA("Sum of CO2e Road [kg]",$A$5,"main road",522))</f>
        <v>0.25843999258022632</v>
      </c>
    </row>
    <row r="11" spans="1:6" x14ac:dyDescent="0.25">
      <c r="A11" s="8">
        <v>536</v>
      </c>
      <c r="B11" s="9">
        <v>274.94</v>
      </c>
      <c r="C11" s="9">
        <v>442.84</v>
      </c>
      <c r="E11">
        <f>GETPIVOTDATA("Sum of CO2e Road [kg]",$A$5,"main road",536)-GETPIVOTDATA("Sum of CO2e CT [kg]",$A$5,"main road",536)</f>
        <v>167.89999999999998</v>
      </c>
      <c r="F11" s="32">
        <f>1-(GETPIVOTDATA("Sum of CO2e CT [kg]",$A$5,"main road",536)/GETPIVOTDATA("Sum of CO2e Road [kg]",$A$5,"main road",536))</f>
        <v>0.37914370878872727</v>
      </c>
    </row>
    <row r="12" spans="1:6" x14ac:dyDescent="0.25">
      <c r="A12" s="8">
        <v>568</v>
      </c>
      <c r="B12" s="9">
        <v>242.36</v>
      </c>
      <c r="C12" s="9">
        <v>469.28</v>
      </c>
      <c r="E12">
        <f>GETPIVOTDATA("Sum of CO2e Road [kg]",$A$5,"main road",568)-GETPIVOTDATA("Sum of CO2e CT [kg]",$A$5,"main road",568)</f>
        <v>226.91999999999996</v>
      </c>
      <c r="F12" s="32">
        <f>1-(GETPIVOTDATA("Sum of CO2e CT [kg]",$A$5,"main road",568)/GETPIVOTDATA("Sum of CO2e Road [kg]",$A$5,"main road",568))</f>
        <v>0.48354926696215472</v>
      </c>
    </row>
    <row r="13" spans="1:6" x14ac:dyDescent="0.25">
      <c r="A13" s="8">
        <v>752</v>
      </c>
      <c r="B13" s="9">
        <v>250.12</v>
      </c>
      <c r="C13" s="9">
        <v>621.29999999999995</v>
      </c>
      <c r="E13">
        <f>GETPIVOTDATA("Sum of CO2e Road [kg]",$A$5,"main road",752)-GETPIVOTDATA("Sum of CO2e CT [kg]",$A$5,"main road",752)</f>
        <v>371.17999999999995</v>
      </c>
      <c r="F13" s="32">
        <f>1-GETPIVOTDATA("Sum of CO2e CT [kg]",$A$5,"main road",752)/GETPIVOTDATA("Sum of CO2e Road [kg]",$A$5,"main road",752)</f>
        <v>0.59742475454691779</v>
      </c>
    </row>
    <row r="14" spans="1:6" x14ac:dyDescent="0.25">
      <c r="A14" s="8">
        <v>804</v>
      </c>
      <c r="B14" s="9">
        <v>434.15</v>
      </c>
      <c r="C14" s="9">
        <v>664.26</v>
      </c>
      <c r="E14">
        <f>GETPIVOTDATA("Sum of CO2e Road [kg]",$A$5,"main road",804)-GETPIVOTDATA("Sum of CO2e CT [kg]",$A$5,"main road",804)</f>
        <v>230.11</v>
      </c>
      <c r="F14" s="32">
        <f>1-(GETPIVOTDATA("Sum of CO2e CT [kg]",$A$5,"main road",804)/GETPIVOTDATA("Sum of CO2e Road [kg]",$A$5,"main road",804))</f>
        <v>0.34641556017222175</v>
      </c>
    </row>
    <row r="15" spans="1:6" x14ac:dyDescent="0.25">
      <c r="A15" s="8">
        <v>1820</v>
      </c>
      <c r="B15" s="9">
        <v>993.57</v>
      </c>
      <c r="C15" s="9">
        <v>1503.68</v>
      </c>
      <c r="E15">
        <f>GETPIVOTDATA("Sum of CO2e Road [kg]",$A$5,"main road",1820)-GETPIVOTDATA("Sum of CO2e CT [kg]",$A$5,"main road",1820)</f>
        <v>510.11</v>
      </c>
      <c r="F15" s="32">
        <f>1-(GETPIVOTDATA("Sum of CO2e CT [kg]",$A$5,"main road",1820)/GETPIVOTDATA("Sum of CO2e Road [kg]",$A$5,"main road",1820))</f>
        <v>0.3392410619280698</v>
      </c>
    </row>
    <row r="16" spans="1:6" x14ac:dyDescent="0.25">
      <c r="A16" s="8" t="s">
        <v>35</v>
      </c>
      <c r="B16" s="9">
        <v>3338.07</v>
      </c>
      <c r="C16" s="9">
        <v>5106.7300000000005</v>
      </c>
      <c r="E16">
        <f>AVERAGE(E6:E15)</f>
        <v>176.86600000000004</v>
      </c>
      <c r="F16" s="32">
        <f>AVERAGE(F6:F15)</f>
        <v>0.2871364608528349</v>
      </c>
    </row>
  </sheetData>
  <mergeCells count="1">
    <mergeCell ref="E4:F4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3"/>
  <sheetViews>
    <sheetView tabSelected="1" zoomScaleNormal="100" workbookViewId="0">
      <selection activeCell="B51" sqref="B51"/>
    </sheetView>
  </sheetViews>
  <sheetFormatPr defaultRowHeight="15" x14ac:dyDescent="0.25"/>
  <cols>
    <col min="2" max="2" width="8.5703125" bestFit="1" customWidth="1"/>
    <col min="3" max="3" width="27.28515625" bestFit="1" customWidth="1"/>
    <col min="4" max="5" width="9" style="1" bestFit="1" customWidth="1"/>
    <col min="6" max="7" width="3.7109375" bestFit="1" customWidth="1"/>
    <col min="8" max="8" width="5.140625" bestFit="1" customWidth="1"/>
    <col min="9" max="9" width="6.5703125" bestFit="1" customWidth="1"/>
    <col min="10" max="10" width="7" bestFit="1" customWidth="1"/>
    <col min="11" max="12" width="9.42578125" bestFit="1" customWidth="1"/>
    <col min="13" max="14" width="12.28515625" bestFit="1" customWidth="1"/>
    <col min="15" max="15" width="9.42578125" bestFit="1" customWidth="1"/>
    <col min="16" max="17" width="12.28515625" bestFit="1" customWidth="1"/>
  </cols>
  <sheetData>
    <row r="1" spans="2:19" s="6" customFormat="1" ht="56.25" x14ac:dyDescent="0.25">
      <c r="B1" s="5" t="s">
        <v>0</v>
      </c>
      <c r="C1" s="5" t="s">
        <v>1</v>
      </c>
      <c r="D1" s="5" t="s">
        <v>2</v>
      </c>
      <c r="E1" s="5" t="s">
        <v>6</v>
      </c>
      <c r="F1" s="5" t="s">
        <v>3</v>
      </c>
      <c r="G1" s="5" t="s">
        <v>4</v>
      </c>
      <c r="H1" s="5" t="s">
        <v>18</v>
      </c>
      <c r="I1" s="5" t="s">
        <v>24</v>
      </c>
      <c r="J1" s="5" t="s">
        <v>19</v>
      </c>
      <c r="K1" s="5" t="s">
        <v>29</v>
      </c>
      <c r="L1" s="5" t="s">
        <v>30</v>
      </c>
      <c r="M1" s="5" t="s">
        <v>28</v>
      </c>
      <c r="N1" s="5" t="s">
        <v>27</v>
      </c>
      <c r="O1" s="5" t="s">
        <v>20</v>
      </c>
      <c r="P1" s="5" t="s">
        <v>25</v>
      </c>
      <c r="Q1" s="5" t="s">
        <v>26</v>
      </c>
      <c r="R1" s="6" t="s">
        <v>31</v>
      </c>
      <c r="S1" s="5" t="s">
        <v>98</v>
      </c>
    </row>
    <row r="2" spans="2:19" x14ac:dyDescent="0.25">
      <c r="B2" t="s">
        <v>5</v>
      </c>
      <c r="C2" t="s">
        <v>100</v>
      </c>
      <c r="D2" s="1">
        <v>15000</v>
      </c>
      <c r="E2" s="1">
        <v>4589</v>
      </c>
      <c r="F2">
        <v>2</v>
      </c>
      <c r="G2">
        <v>3</v>
      </c>
      <c r="H2">
        <v>1</v>
      </c>
      <c r="I2">
        <v>4</v>
      </c>
      <c r="J2">
        <f>ROUND(E2*I2/(G2+H2),0)</f>
        <v>4589</v>
      </c>
      <c r="K2">
        <v>5</v>
      </c>
      <c r="L2">
        <f>K2*52</f>
        <v>260</v>
      </c>
      <c r="M2">
        <f>5*14</f>
        <v>70</v>
      </c>
      <c r="N2">
        <f>52*M2</f>
        <v>3640</v>
      </c>
      <c r="O2">
        <f>INT(J2/L2)</f>
        <v>17</v>
      </c>
      <c r="P2">
        <v>30</v>
      </c>
      <c r="Q2">
        <v>15</v>
      </c>
      <c r="R2" s="7">
        <f>(E2/(4*F2))/L2</f>
        <v>2.2062499999999998</v>
      </c>
      <c r="S2" t="s">
        <v>99</v>
      </c>
    </row>
    <row r="3" spans="2:19" x14ac:dyDescent="0.25">
      <c r="B3" t="s">
        <v>5</v>
      </c>
      <c r="C3" t="s">
        <v>101</v>
      </c>
      <c r="D3" s="1">
        <v>70000</v>
      </c>
      <c r="E3" s="1">
        <v>36886</v>
      </c>
      <c r="F3">
        <v>6</v>
      </c>
      <c r="G3">
        <v>5</v>
      </c>
      <c r="H3">
        <v>0</v>
      </c>
      <c r="I3">
        <v>4</v>
      </c>
      <c r="J3">
        <f t="shared" ref="J3:J44" si="0">ROUND(E3*I3/(G3+H3),0)</f>
        <v>29509</v>
      </c>
      <c r="K3">
        <v>6</v>
      </c>
      <c r="L3">
        <f t="shared" ref="L3:L44" si="1">K3*52</f>
        <v>312</v>
      </c>
      <c r="M3">
        <f>5*13+(1*5)</f>
        <v>70</v>
      </c>
      <c r="N3">
        <f t="shared" ref="N3:N44" si="2">52*M3</f>
        <v>3640</v>
      </c>
      <c r="O3">
        <f t="shared" ref="O3:O44" si="3">INT(J3/L3)</f>
        <v>94</v>
      </c>
      <c r="P3">
        <v>30</v>
      </c>
      <c r="Q3">
        <v>15</v>
      </c>
      <c r="R3" s="7">
        <f t="shared" ref="R3:R45" si="4">(E3/(4*F3))/L3</f>
        <v>4.9260149572649574</v>
      </c>
      <c r="S3" t="s">
        <v>99</v>
      </c>
    </row>
    <row r="4" spans="2:19" x14ac:dyDescent="0.25">
      <c r="B4" t="s">
        <v>5</v>
      </c>
      <c r="C4" t="s">
        <v>102</v>
      </c>
      <c r="D4" s="1">
        <v>120000</v>
      </c>
      <c r="E4" s="1">
        <v>193671</v>
      </c>
      <c r="F4">
        <v>9</v>
      </c>
      <c r="G4">
        <v>2</v>
      </c>
      <c r="H4">
        <v>5</v>
      </c>
      <c r="I4">
        <v>4</v>
      </c>
      <c r="J4">
        <f t="shared" si="0"/>
        <v>110669</v>
      </c>
      <c r="K4">
        <v>6</v>
      </c>
      <c r="L4">
        <f t="shared" si="1"/>
        <v>312</v>
      </c>
      <c r="M4">
        <f>5*13+(1*11)</f>
        <v>76</v>
      </c>
      <c r="N4">
        <f t="shared" si="2"/>
        <v>3952</v>
      </c>
      <c r="O4">
        <f t="shared" si="3"/>
        <v>354</v>
      </c>
      <c r="P4">
        <v>30</v>
      </c>
      <c r="Q4">
        <v>15</v>
      </c>
      <c r="R4" s="7">
        <f t="shared" si="4"/>
        <v>17.24278846153846</v>
      </c>
      <c r="S4" t="s">
        <v>99</v>
      </c>
    </row>
    <row r="5" spans="2:19" x14ac:dyDescent="0.25">
      <c r="B5" t="s">
        <v>5</v>
      </c>
      <c r="C5" t="s">
        <v>103</v>
      </c>
      <c r="D5" s="1">
        <v>54000</v>
      </c>
      <c r="E5" s="1">
        <v>54000</v>
      </c>
      <c r="F5">
        <v>6</v>
      </c>
      <c r="G5">
        <v>1</v>
      </c>
      <c r="H5">
        <v>5</v>
      </c>
      <c r="I5">
        <v>4</v>
      </c>
      <c r="J5">
        <f t="shared" si="0"/>
        <v>36000</v>
      </c>
      <c r="K5">
        <v>5</v>
      </c>
      <c r="L5">
        <f t="shared" si="1"/>
        <v>260</v>
      </c>
      <c r="M5">
        <f>5*12</f>
        <v>60</v>
      </c>
      <c r="N5">
        <f t="shared" si="2"/>
        <v>3120</v>
      </c>
      <c r="O5">
        <f t="shared" si="3"/>
        <v>138</v>
      </c>
      <c r="P5">
        <v>30</v>
      </c>
      <c r="Q5">
        <v>15</v>
      </c>
      <c r="R5" s="7">
        <f t="shared" si="4"/>
        <v>8.6538461538461533</v>
      </c>
      <c r="S5" t="s">
        <v>99</v>
      </c>
    </row>
    <row r="6" spans="2:19" x14ac:dyDescent="0.25">
      <c r="B6" t="s">
        <v>5</v>
      </c>
      <c r="C6" t="s">
        <v>104</v>
      </c>
      <c r="D6" s="1">
        <v>250000</v>
      </c>
      <c r="E6" s="1">
        <v>87939</v>
      </c>
      <c r="F6">
        <v>4</v>
      </c>
      <c r="G6">
        <v>2</v>
      </c>
      <c r="H6">
        <v>0</v>
      </c>
      <c r="I6">
        <v>4</v>
      </c>
      <c r="J6">
        <f t="shared" si="0"/>
        <v>175878</v>
      </c>
      <c r="K6">
        <v>6</v>
      </c>
      <c r="L6">
        <f t="shared" si="1"/>
        <v>312</v>
      </c>
      <c r="M6">
        <f>5*13.5</f>
        <v>67.5</v>
      </c>
      <c r="N6">
        <f t="shared" si="2"/>
        <v>3510</v>
      </c>
      <c r="O6">
        <f t="shared" si="3"/>
        <v>563</v>
      </c>
      <c r="P6">
        <v>30</v>
      </c>
      <c r="Q6">
        <v>0</v>
      </c>
      <c r="R6" s="7">
        <f t="shared" si="4"/>
        <v>17.615985576923077</v>
      </c>
      <c r="S6" t="s">
        <v>99</v>
      </c>
    </row>
    <row r="7" spans="2:19" x14ac:dyDescent="0.25">
      <c r="B7" t="s">
        <v>5</v>
      </c>
      <c r="C7" t="s">
        <v>105</v>
      </c>
      <c r="D7" s="1">
        <v>120000</v>
      </c>
      <c r="E7" s="1">
        <v>245000</v>
      </c>
      <c r="F7">
        <v>6</v>
      </c>
      <c r="G7">
        <v>2</v>
      </c>
      <c r="H7">
        <v>6</v>
      </c>
      <c r="I7">
        <v>4</v>
      </c>
      <c r="J7">
        <f t="shared" si="0"/>
        <v>122500</v>
      </c>
      <c r="K7">
        <v>5</v>
      </c>
      <c r="L7">
        <f t="shared" si="1"/>
        <v>260</v>
      </c>
      <c r="M7">
        <f>5*13.5+(1*4)</f>
        <v>71.5</v>
      </c>
      <c r="N7">
        <f t="shared" si="2"/>
        <v>3718</v>
      </c>
      <c r="O7">
        <f t="shared" si="3"/>
        <v>471</v>
      </c>
      <c r="P7">
        <v>30</v>
      </c>
      <c r="Q7">
        <v>15</v>
      </c>
      <c r="R7" s="7">
        <f t="shared" si="4"/>
        <v>39.262820512820518</v>
      </c>
      <c r="S7" t="s">
        <v>99</v>
      </c>
    </row>
    <row r="8" spans="2:19" x14ac:dyDescent="0.25">
      <c r="B8" t="s">
        <v>5</v>
      </c>
      <c r="C8" t="s">
        <v>106</v>
      </c>
      <c r="D8" s="1">
        <v>170000</v>
      </c>
      <c r="E8" s="1">
        <v>305000</v>
      </c>
      <c r="F8">
        <v>4</v>
      </c>
      <c r="G8">
        <v>1</v>
      </c>
      <c r="H8">
        <v>6</v>
      </c>
      <c r="I8">
        <v>4</v>
      </c>
      <c r="J8">
        <f t="shared" si="0"/>
        <v>174286</v>
      </c>
      <c r="K8">
        <v>5</v>
      </c>
      <c r="L8">
        <f t="shared" si="1"/>
        <v>260</v>
      </c>
      <c r="M8">
        <f>5*11.5</f>
        <v>57.5</v>
      </c>
      <c r="N8">
        <f t="shared" si="2"/>
        <v>2990</v>
      </c>
      <c r="O8">
        <f t="shared" si="3"/>
        <v>670</v>
      </c>
      <c r="P8">
        <v>30</v>
      </c>
      <c r="Q8">
        <v>15</v>
      </c>
      <c r="R8" s="7">
        <f t="shared" si="4"/>
        <v>73.317307692307693</v>
      </c>
      <c r="S8" t="s">
        <v>99</v>
      </c>
    </row>
    <row r="9" spans="2:19" x14ac:dyDescent="0.25">
      <c r="B9" t="s">
        <v>9</v>
      </c>
      <c r="C9" t="s">
        <v>107</v>
      </c>
      <c r="D9" s="1">
        <v>52000</v>
      </c>
      <c r="E9" s="1">
        <v>61560</v>
      </c>
      <c r="F9">
        <v>4</v>
      </c>
      <c r="G9">
        <v>2</v>
      </c>
      <c r="H9">
        <v>5</v>
      </c>
      <c r="I9">
        <v>4</v>
      </c>
      <c r="J9">
        <f t="shared" si="0"/>
        <v>35177</v>
      </c>
      <c r="K9">
        <v>5</v>
      </c>
      <c r="L9">
        <f t="shared" si="1"/>
        <v>260</v>
      </c>
      <c r="M9">
        <f>5*14</f>
        <v>70</v>
      </c>
      <c r="N9">
        <f t="shared" si="2"/>
        <v>3640</v>
      </c>
      <c r="O9">
        <f t="shared" si="3"/>
        <v>135</v>
      </c>
      <c r="P9">
        <v>30</v>
      </c>
      <c r="Q9">
        <v>15</v>
      </c>
      <c r="R9" s="7">
        <f t="shared" si="4"/>
        <v>14.798076923076923</v>
      </c>
      <c r="S9" t="s">
        <v>99</v>
      </c>
    </row>
    <row r="10" spans="2:19" x14ac:dyDescent="0.25">
      <c r="B10" t="s">
        <v>9</v>
      </c>
      <c r="C10" t="s">
        <v>108</v>
      </c>
      <c r="D10" s="1">
        <v>102000</v>
      </c>
      <c r="E10" s="1">
        <v>131335</v>
      </c>
      <c r="F10">
        <v>5</v>
      </c>
      <c r="G10">
        <v>2</v>
      </c>
      <c r="H10">
        <v>2</v>
      </c>
      <c r="I10">
        <v>4</v>
      </c>
      <c r="J10">
        <f t="shared" si="0"/>
        <v>131335</v>
      </c>
      <c r="K10">
        <v>6</v>
      </c>
      <c r="L10">
        <f t="shared" si="1"/>
        <v>312</v>
      </c>
      <c r="M10">
        <f>5*15+(1*6)</f>
        <v>81</v>
      </c>
      <c r="N10">
        <f t="shared" si="2"/>
        <v>4212</v>
      </c>
      <c r="O10">
        <f t="shared" si="3"/>
        <v>420</v>
      </c>
      <c r="P10">
        <v>25</v>
      </c>
      <c r="Q10">
        <v>15</v>
      </c>
      <c r="R10" s="7">
        <f t="shared" si="4"/>
        <v>21.047275641025642</v>
      </c>
      <c r="S10" t="s">
        <v>99</v>
      </c>
    </row>
    <row r="11" spans="2:19" x14ac:dyDescent="0.25">
      <c r="B11" t="s">
        <v>9</v>
      </c>
      <c r="C11" t="s">
        <v>109</v>
      </c>
      <c r="D11" s="1">
        <v>80000</v>
      </c>
      <c r="E11" s="1">
        <v>31856</v>
      </c>
      <c r="F11">
        <v>2</v>
      </c>
      <c r="G11">
        <v>0</v>
      </c>
      <c r="H11">
        <v>2</v>
      </c>
      <c r="I11">
        <v>4</v>
      </c>
      <c r="J11">
        <f t="shared" si="0"/>
        <v>63712</v>
      </c>
      <c r="K11">
        <v>6</v>
      </c>
      <c r="L11">
        <f t="shared" si="1"/>
        <v>312</v>
      </c>
      <c r="M11">
        <f>5*16+(1*6)</f>
        <v>86</v>
      </c>
      <c r="N11">
        <f t="shared" si="2"/>
        <v>4472</v>
      </c>
      <c r="O11">
        <f t="shared" si="3"/>
        <v>204</v>
      </c>
      <c r="P11">
        <v>0</v>
      </c>
      <c r="Q11">
        <v>15</v>
      </c>
      <c r="R11" s="7">
        <f t="shared" si="4"/>
        <v>12.762820512820513</v>
      </c>
      <c r="S11" t="s">
        <v>99</v>
      </c>
    </row>
    <row r="12" spans="2:19" x14ac:dyDescent="0.25">
      <c r="B12" t="s">
        <v>9</v>
      </c>
      <c r="C12" t="s">
        <v>110</v>
      </c>
      <c r="D12" s="1">
        <v>53000</v>
      </c>
      <c r="E12" s="1">
        <v>79560</v>
      </c>
      <c r="F12">
        <v>5</v>
      </c>
      <c r="G12">
        <v>3</v>
      </c>
      <c r="H12">
        <v>3</v>
      </c>
      <c r="I12">
        <v>4</v>
      </c>
      <c r="J12">
        <f t="shared" si="0"/>
        <v>53040</v>
      </c>
      <c r="K12">
        <v>6</v>
      </c>
      <c r="L12">
        <f t="shared" si="1"/>
        <v>312</v>
      </c>
      <c r="M12">
        <f>5*14</f>
        <v>70</v>
      </c>
      <c r="N12">
        <f t="shared" si="2"/>
        <v>3640</v>
      </c>
      <c r="O12">
        <f t="shared" si="3"/>
        <v>170</v>
      </c>
      <c r="P12">
        <v>30</v>
      </c>
      <c r="Q12">
        <v>15</v>
      </c>
      <c r="R12" s="7">
        <f t="shared" si="4"/>
        <v>12.75</v>
      </c>
      <c r="S12" t="s">
        <v>99</v>
      </c>
    </row>
    <row r="13" spans="2:19" x14ac:dyDescent="0.25">
      <c r="B13" t="s">
        <v>9</v>
      </c>
      <c r="C13" t="s">
        <v>111</v>
      </c>
      <c r="D13" s="1">
        <v>202497</v>
      </c>
      <c r="E13" s="1">
        <v>3036</v>
      </c>
      <c r="F13">
        <v>8</v>
      </c>
      <c r="G13">
        <v>3</v>
      </c>
      <c r="H13">
        <v>4</v>
      </c>
      <c r="I13">
        <v>4</v>
      </c>
      <c r="J13">
        <f t="shared" si="0"/>
        <v>1735</v>
      </c>
      <c r="K13">
        <v>5</v>
      </c>
      <c r="L13">
        <f t="shared" si="1"/>
        <v>260</v>
      </c>
      <c r="M13">
        <f>5*14</f>
        <v>70</v>
      </c>
      <c r="N13">
        <f t="shared" si="2"/>
        <v>3640</v>
      </c>
      <c r="O13">
        <f t="shared" si="3"/>
        <v>6</v>
      </c>
      <c r="P13">
        <v>30</v>
      </c>
      <c r="Q13">
        <v>15</v>
      </c>
      <c r="R13" s="7">
        <f t="shared" si="4"/>
        <v>0.36490384615384613</v>
      </c>
      <c r="S13" t="s">
        <v>99</v>
      </c>
    </row>
    <row r="14" spans="2:19" x14ac:dyDescent="0.25">
      <c r="B14" t="s">
        <v>9</v>
      </c>
      <c r="C14" t="s">
        <v>112</v>
      </c>
      <c r="D14" s="1">
        <v>77000</v>
      </c>
      <c r="E14" s="1">
        <v>66813</v>
      </c>
      <c r="F14">
        <v>4</v>
      </c>
      <c r="G14">
        <v>3</v>
      </c>
      <c r="H14">
        <v>5</v>
      </c>
      <c r="I14">
        <v>4</v>
      </c>
      <c r="J14">
        <f t="shared" si="0"/>
        <v>33407</v>
      </c>
      <c r="K14">
        <v>5</v>
      </c>
      <c r="L14">
        <f t="shared" si="1"/>
        <v>260</v>
      </c>
      <c r="M14">
        <f>5*14</f>
        <v>70</v>
      </c>
      <c r="N14">
        <f t="shared" si="2"/>
        <v>3640</v>
      </c>
      <c r="O14">
        <f t="shared" si="3"/>
        <v>128</v>
      </c>
      <c r="P14">
        <v>30</v>
      </c>
      <c r="Q14">
        <v>15</v>
      </c>
      <c r="R14" s="7">
        <f t="shared" si="4"/>
        <v>16.060817307692307</v>
      </c>
      <c r="S14" t="s">
        <v>99</v>
      </c>
    </row>
    <row r="15" spans="2:19" x14ac:dyDescent="0.25">
      <c r="B15" t="s">
        <v>7</v>
      </c>
      <c r="C15" t="s">
        <v>113</v>
      </c>
      <c r="D15" s="1">
        <v>27000</v>
      </c>
      <c r="E15" s="1">
        <v>43711</v>
      </c>
      <c r="F15">
        <v>5</v>
      </c>
      <c r="G15">
        <v>3</v>
      </c>
      <c r="H15">
        <v>0</v>
      </c>
      <c r="I15">
        <v>4</v>
      </c>
      <c r="J15">
        <f t="shared" si="0"/>
        <v>58281</v>
      </c>
      <c r="K15">
        <v>5</v>
      </c>
      <c r="L15">
        <f t="shared" si="1"/>
        <v>260</v>
      </c>
      <c r="M15">
        <f>5*16+(1*6)</f>
        <v>86</v>
      </c>
      <c r="N15">
        <f t="shared" si="2"/>
        <v>4472</v>
      </c>
      <c r="O15">
        <f t="shared" si="3"/>
        <v>224</v>
      </c>
      <c r="P15">
        <v>30</v>
      </c>
      <c r="Q15">
        <v>15</v>
      </c>
      <c r="R15" s="7">
        <f t="shared" si="4"/>
        <v>8.4059615384615398</v>
      </c>
      <c r="S15" t="s">
        <v>99</v>
      </c>
    </row>
    <row r="16" spans="2:19" x14ac:dyDescent="0.25">
      <c r="B16" t="s">
        <v>7</v>
      </c>
      <c r="C16" t="s">
        <v>114</v>
      </c>
      <c r="D16" s="1">
        <v>12000</v>
      </c>
      <c r="E16" s="1">
        <v>55588</v>
      </c>
      <c r="F16">
        <v>1</v>
      </c>
      <c r="G16">
        <v>1</v>
      </c>
      <c r="H16">
        <v>0</v>
      </c>
      <c r="I16">
        <v>4</v>
      </c>
      <c r="J16">
        <f t="shared" si="0"/>
        <v>222352</v>
      </c>
      <c r="K16">
        <v>5</v>
      </c>
      <c r="L16">
        <f t="shared" si="1"/>
        <v>260</v>
      </c>
      <c r="M16">
        <f>5*10</f>
        <v>50</v>
      </c>
      <c r="N16">
        <f t="shared" si="2"/>
        <v>2600</v>
      </c>
      <c r="O16">
        <f t="shared" si="3"/>
        <v>855</v>
      </c>
      <c r="P16">
        <v>30</v>
      </c>
      <c r="Q16">
        <v>15</v>
      </c>
      <c r="R16" s="7">
        <f t="shared" si="4"/>
        <v>53.45</v>
      </c>
      <c r="S16" t="s">
        <v>99</v>
      </c>
    </row>
    <row r="17" spans="2:19" x14ac:dyDescent="0.25">
      <c r="B17" t="s">
        <v>7</v>
      </c>
      <c r="C17" t="s">
        <v>115</v>
      </c>
      <c r="D17" s="1">
        <v>17000</v>
      </c>
      <c r="E17" s="1">
        <v>41939</v>
      </c>
      <c r="F17">
        <v>2</v>
      </c>
      <c r="G17">
        <v>2</v>
      </c>
      <c r="H17">
        <v>1</v>
      </c>
      <c r="I17">
        <v>4</v>
      </c>
      <c r="J17">
        <f t="shared" si="0"/>
        <v>55919</v>
      </c>
      <c r="K17">
        <v>6</v>
      </c>
      <c r="L17">
        <f t="shared" si="1"/>
        <v>312</v>
      </c>
      <c r="M17">
        <f>5*12</f>
        <v>60</v>
      </c>
      <c r="N17">
        <f t="shared" si="2"/>
        <v>3120</v>
      </c>
      <c r="O17">
        <f t="shared" si="3"/>
        <v>179</v>
      </c>
      <c r="P17">
        <v>30</v>
      </c>
      <c r="Q17">
        <v>15</v>
      </c>
      <c r="R17" s="7">
        <f t="shared" si="4"/>
        <v>16.802483974358974</v>
      </c>
      <c r="S17" t="s">
        <v>99</v>
      </c>
    </row>
    <row r="18" spans="2:19" x14ac:dyDescent="0.25">
      <c r="B18" t="s">
        <v>7</v>
      </c>
      <c r="C18" t="s">
        <v>116</v>
      </c>
      <c r="D18" s="1">
        <v>15600</v>
      </c>
      <c r="E18" s="1">
        <v>30654</v>
      </c>
      <c r="F18">
        <v>1</v>
      </c>
      <c r="G18">
        <v>1</v>
      </c>
      <c r="H18">
        <v>0</v>
      </c>
      <c r="I18">
        <v>4</v>
      </c>
      <c r="J18">
        <f t="shared" si="0"/>
        <v>122616</v>
      </c>
      <c r="K18">
        <v>5</v>
      </c>
      <c r="L18">
        <f t="shared" si="1"/>
        <v>260</v>
      </c>
      <c r="M18">
        <f>5*10</f>
        <v>50</v>
      </c>
      <c r="N18">
        <f t="shared" si="2"/>
        <v>2600</v>
      </c>
      <c r="O18">
        <f t="shared" si="3"/>
        <v>471</v>
      </c>
      <c r="P18">
        <v>30</v>
      </c>
      <c r="Q18">
        <v>15</v>
      </c>
      <c r="R18" s="7">
        <f t="shared" si="4"/>
        <v>29.475000000000001</v>
      </c>
      <c r="S18" t="s">
        <v>99</v>
      </c>
    </row>
    <row r="19" spans="2:19" x14ac:dyDescent="0.25">
      <c r="B19" t="s">
        <v>7</v>
      </c>
      <c r="C19" t="s">
        <v>117</v>
      </c>
      <c r="D19" s="1">
        <v>45000</v>
      </c>
      <c r="E19" s="1">
        <v>96099</v>
      </c>
      <c r="F19">
        <v>3</v>
      </c>
      <c r="G19">
        <v>2</v>
      </c>
      <c r="H19">
        <v>0</v>
      </c>
      <c r="I19">
        <v>4</v>
      </c>
      <c r="J19">
        <f t="shared" si="0"/>
        <v>192198</v>
      </c>
      <c r="K19">
        <v>5</v>
      </c>
      <c r="L19">
        <f t="shared" si="1"/>
        <v>260</v>
      </c>
      <c r="M19">
        <f>5*10</f>
        <v>50</v>
      </c>
      <c r="N19">
        <f t="shared" si="2"/>
        <v>2600</v>
      </c>
      <c r="O19">
        <f t="shared" si="3"/>
        <v>739</v>
      </c>
      <c r="P19">
        <v>30</v>
      </c>
      <c r="Q19">
        <v>15</v>
      </c>
      <c r="R19" s="7">
        <f t="shared" si="4"/>
        <v>30.800961538461539</v>
      </c>
      <c r="S19" t="s">
        <v>99</v>
      </c>
    </row>
    <row r="20" spans="2:19" x14ac:dyDescent="0.25">
      <c r="B20" t="s">
        <v>8</v>
      </c>
      <c r="C20" t="s">
        <v>118</v>
      </c>
      <c r="D20" s="1">
        <v>305000</v>
      </c>
      <c r="E20" s="1">
        <v>354000</v>
      </c>
      <c r="F20">
        <v>25</v>
      </c>
      <c r="G20">
        <v>8</v>
      </c>
      <c r="H20">
        <v>2</v>
      </c>
      <c r="I20">
        <v>4</v>
      </c>
      <c r="J20">
        <f t="shared" si="0"/>
        <v>141600</v>
      </c>
      <c r="K20">
        <v>6</v>
      </c>
      <c r="L20">
        <f t="shared" si="1"/>
        <v>312</v>
      </c>
      <c r="M20">
        <f>5*24+(1*13)</f>
        <v>133</v>
      </c>
      <c r="N20">
        <f t="shared" si="2"/>
        <v>6916</v>
      </c>
      <c r="O20">
        <f t="shared" si="3"/>
        <v>453</v>
      </c>
      <c r="P20">
        <v>30</v>
      </c>
      <c r="Q20">
        <v>15</v>
      </c>
      <c r="R20" s="7">
        <f t="shared" si="4"/>
        <v>11.346153846153847</v>
      </c>
      <c r="S20" t="s">
        <v>99</v>
      </c>
    </row>
    <row r="21" spans="2:19" x14ac:dyDescent="0.25">
      <c r="B21" t="s">
        <v>8</v>
      </c>
      <c r="C21" t="s">
        <v>119</v>
      </c>
      <c r="D21" s="1">
        <v>63000</v>
      </c>
      <c r="E21" s="1">
        <v>73592</v>
      </c>
      <c r="F21">
        <v>4</v>
      </c>
      <c r="G21">
        <v>2</v>
      </c>
      <c r="H21">
        <v>1</v>
      </c>
      <c r="I21">
        <v>4</v>
      </c>
      <c r="J21">
        <f t="shared" si="0"/>
        <v>98123</v>
      </c>
      <c r="K21">
        <v>6</v>
      </c>
      <c r="L21">
        <f t="shared" si="1"/>
        <v>312</v>
      </c>
      <c r="M21">
        <f>5*16+(1*5)</f>
        <v>85</v>
      </c>
      <c r="N21">
        <f t="shared" si="2"/>
        <v>4420</v>
      </c>
      <c r="O21">
        <f t="shared" si="3"/>
        <v>314</v>
      </c>
      <c r="P21">
        <v>30</v>
      </c>
      <c r="Q21">
        <v>15</v>
      </c>
      <c r="R21" s="7">
        <f t="shared" si="4"/>
        <v>14.741987179487179</v>
      </c>
      <c r="S21" t="s">
        <v>99</v>
      </c>
    </row>
    <row r="22" spans="2:19" x14ac:dyDescent="0.25">
      <c r="B22" t="s">
        <v>10</v>
      </c>
      <c r="C22" t="s">
        <v>120</v>
      </c>
      <c r="D22" s="1">
        <v>85296</v>
      </c>
      <c r="E22" s="1">
        <v>70350</v>
      </c>
      <c r="F22">
        <v>14</v>
      </c>
      <c r="G22">
        <v>4</v>
      </c>
      <c r="H22">
        <v>3</v>
      </c>
      <c r="I22">
        <v>4</v>
      </c>
      <c r="J22">
        <f t="shared" si="0"/>
        <v>40200</v>
      </c>
      <c r="K22">
        <v>6</v>
      </c>
      <c r="L22">
        <f t="shared" si="1"/>
        <v>312</v>
      </c>
      <c r="M22">
        <f>5*16.5+(1*8)</f>
        <v>90.5</v>
      </c>
      <c r="N22">
        <f t="shared" si="2"/>
        <v>4706</v>
      </c>
      <c r="O22">
        <f t="shared" si="3"/>
        <v>128</v>
      </c>
      <c r="P22">
        <v>30</v>
      </c>
      <c r="Q22">
        <v>15</v>
      </c>
      <c r="R22" s="7">
        <f t="shared" si="4"/>
        <v>4.0264423076923075</v>
      </c>
      <c r="S22" t="s">
        <v>99</v>
      </c>
    </row>
    <row r="23" spans="2:19" x14ac:dyDescent="0.25">
      <c r="B23" t="s">
        <v>10</v>
      </c>
      <c r="C23" t="s">
        <v>121</v>
      </c>
      <c r="D23" s="1">
        <v>35000</v>
      </c>
      <c r="E23" s="1">
        <v>24000</v>
      </c>
      <c r="F23">
        <v>4</v>
      </c>
      <c r="G23">
        <v>3</v>
      </c>
      <c r="H23">
        <v>1</v>
      </c>
      <c r="I23">
        <v>4</v>
      </c>
      <c r="J23">
        <f t="shared" si="0"/>
        <v>24000</v>
      </c>
      <c r="K23">
        <v>6</v>
      </c>
      <c r="L23">
        <f t="shared" si="1"/>
        <v>312</v>
      </c>
      <c r="M23">
        <f>5*14+(1*6)</f>
        <v>76</v>
      </c>
      <c r="N23">
        <f t="shared" si="2"/>
        <v>3952</v>
      </c>
      <c r="O23">
        <f t="shared" si="3"/>
        <v>76</v>
      </c>
      <c r="P23">
        <v>30</v>
      </c>
      <c r="Q23">
        <v>15</v>
      </c>
      <c r="R23" s="7">
        <f t="shared" si="4"/>
        <v>4.8076923076923075</v>
      </c>
      <c r="S23" t="s">
        <v>99</v>
      </c>
    </row>
    <row r="24" spans="2:19" x14ac:dyDescent="0.25">
      <c r="B24" t="s">
        <v>10</v>
      </c>
      <c r="C24" t="s">
        <v>122</v>
      </c>
      <c r="D24" s="1">
        <v>490000</v>
      </c>
      <c r="E24" s="1">
        <v>42000</v>
      </c>
      <c r="F24">
        <v>2</v>
      </c>
      <c r="G24">
        <v>2</v>
      </c>
      <c r="H24">
        <v>3</v>
      </c>
      <c r="I24">
        <v>4</v>
      </c>
      <c r="J24">
        <f t="shared" si="0"/>
        <v>33600</v>
      </c>
      <c r="K24">
        <v>6</v>
      </c>
      <c r="L24">
        <f t="shared" si="1"/>
        <v>312</v>
      </c>
      <c r="M24">
        <f>5*13.5+(1*4.5)</f>
        <v>72</v>
      </c>
      <c r="N24">
        <f t="shared" si="2"/>
        <v>3744</v>
      </c>
      <c r="O24">
        <f t="shared" si="3"/>
        <v>107</v>
      </c>
      <c r="P24">
        <v>30</v>
      </c>
      <c r="Q24">
        <v>15</v>
      </c>
      <c r="R24" s="7">
        <f t="shared" si="4"/>
        <v>16.826923076923077</v>
      </c>
      <c r="S24" t="s">
        <v>99</v>
      </c>
    </row>
    <row r="25" spans="2:19" x14ac:dyDescent="0.25">
      <c r="B25" t="s">
        <v>10</v>
      </c>
      <c r="C25" t="s">
        <v>123</v>
      </c>
      <c r="D25" s="1">
        <v>15000</v>
      </c>
      <c r="E25" s="1">
        <v>2150</v>
      </c>
      <c r="F25">
        <v>4</v>
      </c>
      <c r="G25">
        <v>2</v>
      </c>
      <c r="H25">
        <v>0</v>
      </c>
      <c r="I25">
        <v>4</v>
      </c>
      <c r="J25">
        <f t="shared" si="0"/>
        <v>4300</v>
      </c>
      <c r="K25">
        <v>5</v>
      </c>
      <c r="L25">
        <f t="shared" si="1"/>
        <v>260</v>
      </c>
      <c r="M25">
        <f>5*11</f>
        <v>55</v>
      </c>
      <c r="N25">
        <f t="shared" si="2"/>
        <v>2860</v>
      </c>
      <c r="O25">
        <f t="shared" si="3"/>
        <v>16</v>
      </c>
      <c r="P25">
        <v>30</v>
      </c>
      <c r="Q25">
        <v>15</v>
      </c>
      <c r="R25" s="7">
        <f t="shared" si="4"/>
        <v>0.51682692307692313</v>
      </c>
      <c r="S25" t="s">
        <v>99</v>
      </c>
    </row>
    <row r="26" spans="2:19" x14ac:dyDescent="0.25">
      <c r="B26" t="s">
        <v>10</v>
      </c>
      <c r="C26" t="s">
        <v>124</v>
      </c>
      <c r="D26" s="1">
        <v>48775</v>
      </c>
      <c r="E26" s="1">
        <v>68136</v>
      </c>
      <c r="F26">
        <v>7</v>
      </c>
      <c r="G26">
        <v>5</v>
      </c>
      <c r="H26">
        <v>0</v>
      </c>
      <c r="I26">
        <v>4</v>
      </c>
      <c r="J26">
        <f t="shared" si="0"/>
        <v>54509</v>
      </c>
      <c r="K26">
        <v>5</v>
      </c>
      <c r="L26">
        <f t="shared" si="1"/>
        <v>260</v>
      </c>
      <c r="M26">
        <f>5*11</f>
        <v>55</v>
      </c>
      <c r="N26">
        <f t="shared" si="2"/>
        <v>2860</v>
      </c>
      <c r="O26">
        <f t="shared" si="3"/>
        <v>209</v>
      </c>
      <c r="P26">
        <v>30</v>
      </c>
      <c r="Q26">
        <v>15</v>
      </c>
      <c r="R26" s="7">
        <f t="shared" si="4"/>
        <v>9.3593406593406598</v>
      </c>
      <c r="S26" t="s">
        <v>99</v>
      </c>
    </row>
    <row r="27" spans="2:19" x14ac:dyDescent="0.25">
      <c r="B27" t="s">
        <v>10</v>
      </c>
      <c r="C27" t="s">
        <v>125</v>
      </c>
      <c r="D27" s="1">
        <v>41363</v>
      </c>
      <c r="E27" s="1">
        <v>51047</v>
      </c>
      <c r="F27">
        <v>6</v>
      </c>
      <c r="G27">
        <v>6</v>
      </c>
      <c r="H27">
        <v>0</v>
      </c>
      <c r="I27">
        <v>4</v>
      </c>
      <c r="J27">
        <f t="shared" si="0"/>
        <v>34031</v>
      </c>
      <c r="K27">
        <v>5</v>
      </c>
      <c r="L27">
        <f t="shared" si="1"/>
        <v>260</v>
      </c>
      <c r="M27">
        <f>5*11</f>
        <v>55</v>
      </c>
      <c r="N27">
        <f t="shared" si="2"/>
        <v>2860</v>
      </c>
      <c r="O27">
        <f t="shared" si="3"/>
        <v>130</v>
      </c>
      <c r="P27">
        <v>30</v>
      </c>
      <c r="Q27">
        <v>15</v>
      </c>
      <c r="R27" s="7">
        <f t="shared" si="4"/>
        <v>8.1806089743589752</v>
      </c>
      <c r="S27" t="s">
        <v>99</v>
      </c>
    </row>
    <row r="28" spans="2:19" x14ac:dyDescent="0.25">
      <c r="B28" t="s">
        <v>10</v>
      </c>
      <c r="C28" t="s">
        <v>126</v>
      </c>
      <c r="D28" s="1">
        <v>70000</v>
      </c>
      <c r="E28" s="1">
        <v>21350</v>
      </c>
      <c r="F28">
        <v>10</v>
      </c>
      <c r="G28">
        <v>4</v>
      </c>
      <c r="H28">
        <v>0</v>
      </c>
      <c r="I28">
        <v>4</v>
      </c>
      <c r="J28">
        <f t="shared" si="0"/>
        <v>21350</v>
      </c>
      <c r="K28">
        <v>5</v>
      </c>
      <c r="L28">
        <f t="shared" si="1"/>
        <v>260</v>
      </c>
      <c r="M28">
        <f>5*14</f>
        <v>70</v>
      </c>
      <c r="N28">
        <f t="shared" si="2"/>
        <v>3640</v>
      </c>
      <c r="O28">
        <f t="shared" si="3"/>
        <v>82</v>
      </c>
      <c r="P28">
        <v>30</v>
      </c>
      <c r="Q28">
        <v>15</v>
      </c>
      <c r="R28" s="7">
        <f t="shared" si="4"/>
        <v>2.0528846153846154</v>
      </c>
      <c r="S28" t="s">
        <v>99</v>
      </c>
    </row>
    <row r="29" spans="2:19" x14ac:dyDescent="0.25">
      <c r="B29" t="s">
        <v>10</v>
      </c>
      <c r="C29" t="s">
        <v>127</v>
      </c>
      <c r="D29" s="1">
        <v>52515</v>
      </c>
      <c r="E29" s="1">
        <v>15663</v>
      </c>
      <c r="F29">
        <v>4</v>
      </c>
      <c r="G29">
        <v>4</v>
      </c>
      <c r="H29">
        <v>0</v>
      </c>
      <c r="I29">
        <v>4</v>
      </c>
      <c r="J29">
        <f t="shared" si="0"/>
        <v>15663</v>
      </c>
      <c r="K29">
        <v>5</v>
      </c>
      <c r="L29">
        <f t="shared" si="1"/>
        <v>260</v>
      </c>
      <c r="M29">
        <f>5*11.5</f>
        <v>57.5</v>
      </c>
      <c r="N29">
        <f t="shared" si="2"/>
        <v>2990</v>
      </c>
      <c r="O29">
        <f t="shared" si="3"/>
        <v>60</v>
      </c>
      <c r="P29">
        <v>30</v>
      </c>
      <c r="Q29">
        <v>15</v>
      </c>
      <c r="R29" s="7">
        <f t="shared" si="4"/>
        <v>3.7651442307692307</v>
      </c>
      <c r="S29" t="s">
        <v>99</v>
      </c>
    </row>
    <row r="30" spans="2:19" x14ac:dyDescent="0.25">
      <c r="B30" t="s">
        <v>10</v>
      </c>
      <c r="C30" t="s">
        <v>128</v>
      </c>
      <c r="D30" s="1">
        <v>120000</v>
      </c>
      <c r="E30" s="1">
        <v>77262</v>
      </c>
      <c r="F30">
        <v>7</v>
      </c>
      <c r="G30">
        <v>5</v>
      </c>
      <c r="H30">
        <v>0</v>
      </c>
      <c r="I30">
        <v>4</v>
      </c>
      <c r="J30">
        <f t="shared" si="0"/>
        <v>61810</v>
      </c>
      <c r="K30">
        <v>5</v>
      </c>
      <c r="L30">
        <f t="shared" si="1"/>
        <v>260</v>
      </c>
      <c r="M30">
        <f>5*12.5</f>
        <v>62.5</v>
      </c>
      <c r="N30">
        <f t="shared" si="2"/>
        <v>3250</v>
      </c>
      <c r="O30">
        <f t="shared" si="3"/>
        <v>237</v>
      </c>
      <c r="P30">
        <v>30</v>
      </c>
      <c r="Q30">
        <v>15</v>
      </c>
      <c r="R30" s="7">
        <f t="shared" si="4"/>
        <v>10.612912087912088</v>
      </c>
      <c r="S30" t="s">
        <v>99</v>
      </c>
    </row>
    <row r="31" spans="2:19" x14ac:dyDescent="0.25">
      <c r="B31" t="s">
        <v>10</v>
      </c>
      <c r="C31" t="s">
        <v>129</v>
      </c>
      <c r="D31" s="1">
        <v>45000</v>
      </c>
      <c r="E31" s="1">
        <v>113973</v>
      </c>
      <c r="F31">
        <v>5</v>
      </c>
      <c r="G31">
        <v>2</v>
      </c>
      <c r="H31">
        <v>0</v>
      </c>
      <c r="I31">
        <v>4</v>
      </c>
      <c r="J31">
        <f t="shared" si="0"/>
        <v>227946</v>
      </c>
      <c r="K31">
        <v>5</v>
      </c>
      <c r="L31">
        <f t="shared" si="1"/>
        <v>260</v>
      </c>
      <c r="M31">
        <f>5*14</f>
        <v>70</v>
      </c>
      <c r="N31">
        <f t="shared" si="2"/>
        <v>3640</v>
      </c>
      <c r="O31">
        <f t="shared" si="3"/>
        <v>876</v>
      </c>
      <c r="P31">
        <v>30</v>
      </c>
      <c r="Q31">
        <v>15</v>
      </c>
      <c r="R31" s="7">
        <f t="shared" si="4"/>
        <v>21.917884615384615</v>
      </c>
      <c r="S31" t="s">
        <v>99</v>
      </c>
    </row>
    <row r="32" spans="2:19" x14ac:dyDescent="0.25">
      <c r="B32" t="s">
        <v>11</v>
      </c>
      <c r="C32" t="s">
        <v>130</v>
      </c>
      <c r="D32" s="1">
        <v>223000</v>
      </c>
      <c r="E32" s="1">
        <v>101425</v>
      </c>
      <c r="F32">
        <v>7</v>
      </c>
      <c r="G32">
        <v>7</v>
      </c>
      <c r="H32">
        <v>0</v>
      </c>
      <c r="I32">
        <v>4</v>
      </c>
      <c r="J32">
        <f t="shared" si="0"/>
        <v>57957</v>
      </c>
      <c r="K32">
        <v>7</v>
      </c>
      <c r="L32">
        <f t="shared" si="1"/>
        <v>364</v>
      </c>
      <c r="M32">
        <f>5*16+(2*5)</f>
        <v>90</v>
      </c>
      <c r="N32">
        <f t="shared" si="2"/>
        <v>4680</v>
      </c>
      <c r="O32">
        <f t="shared" si="3"/>
        <v>159</v>
      </c>
      <c r="P32">
        <v>26</v>
      </c>
      <c r="Q32">
        <v>20</v>
      </c>
      <c r="R32" s="7">
        <f t="shared" si="4"/>
        <v>9.9514324960753537</v>
      </c>
      <c r="S32" t="s">
        <v>99</v>
      </c>
    </row>
    <row r="33" spans="2:19" x14ac:dyDescent="0.25">
      <c r="B33" t="s">
        <v>11</v>
      </c>
      <c r="C33" t="s">
        <v>131</v>
      </c>
      <c r="D33" s="1">
        <v>100000</v>
      </c>
      <c r="E33" s="1">
        <v>80000</v>
      </c>
      <c r="F33">
        <v>6</v>
      </c>
      <c r="G33">
        <v>3</v>
      </c>
      <c r="H33">
        <v>0</v>
      </c>
      <c r="I33">
        <v>4</v>
      </c>
      <c r="J33">
        <f t="shared" si="0"/>
        <v>106667</v>
      </c>
      <c r="K33">
        <v>6</v>
      </c>
      <c r="L33">
        <f t="shared" si="1"/>
        <v>312</v>
      </c>
      <c r="M33">
        <f>5*24+(1*5)</f>
        <v>125</v>
      </c>
      <c r="N33">
        <f t="shared" si="2"/>
        <v>6500</v>
      </c>
      <c r="O33">
        <f t="shared" si="3"/>
        <v>341</v>
      </c>
      <c r="P33">
        <v>30</v>
      </c>
      <c r="Q33">
        <v>15</v>
      </c>
      <c r="R33" s="7">
        <f t="shared" si="4"/>
        <v>10.683760683760685</v>
      </c>
      <c r="S33" t="s">
        <v>99</v>
      </c>
    </row>
    <row r="34" spans="2:19" x14ac:dyDescent="0.25">
      <c r="B34" t="s">
        <v>13</v>
      </c>
      <c r="C34" t="s">
        <v>132</v>
      </c>
      <c r="D34" s="1">
        <v>70000</v>
      </c>
      <c r="E34" s="1">
        <v>73907</v>
      </c>
      <c r="F34">
        <v>4</v>
      </c>
      <c r="G34">
        <v>4</v>
      </c>
      <c r="H34">
        <v>0</v>
      </c>
      <c r="I34">
        <v>4</v>
      </c>
      <c r="J34">
        <f t="shared" si="0"/>
        <v>73907</v>
      </c>
      <c r="K34">
        <v>6</v>
      </c>
      <c r="L34">
        <f t="shared" si="1"/>
        <v>312</v>
      </c>
      <c r="M34">
        <f>6*24</f>
        <v>144</v>
      </c>
      <c r="N34">
        <f t="shared" si="2"/>
        <v>7488</v>
      </c>
      <c r="O34">
        <f t="shared" si="3"/>
        <v>236</v>
      </c>
      <c r="P34">
        <v>30</v>
      </c>
      <c r="Q34">
        <v>15</v>
      </c>
      <c r="R34" s="7">
        <f t="shared" si="4"/>
        <v>14.805088141025641</v>
      </c>
      <c r="S34" t="s">
        <v>99</v>
      </c>
    </row>
    <row r="35" spans="2:19" x14ac:dyDescent="0.25">
      <c r="B35" t="s">
        <v>13</v>
      </c>
      <c r="C35" t="s">
        <v>133</v>
      </c>
      <c r="D35" s="1">
        <v>30000</v>
      </c>
      <c r="E35" s="1">
        <v>12550</v>
      </c>
      <c r="F35">
        <v>3</v>
      </c>
      <c r="G35">
        <v>2</v>
      </c>
      <c r="H35">
        <v>0</v>
      </c>
      <c r="I35">
        <v>4</v>
      </c>
      <c r="J35">
        <f t="shared" si="0"/>
        <v>25100</v>
      </c>
      <c r="K35">
        <v>5</v>
      </c>
      <c r="L35">
        <f t="shared" si="1"/>
        <v>260</v>
      </c>
      <c r="M35">
        <f>5*10</f>
        <v>50</v>
      </c>
      <c r="N35">
        <f t="shared" si="2"/>
        <v>2600</v>
      </c>
      <c r="O35">
        <f t="shared" si="3"/>
        <v>96</v>
      </c>
      <c r="P35">
        <v>30</v>
      </c>
      <c r="Q35">
        <v>15</v>
      </c>
      <c r="R35" s="7">
        <f t="shared" si="4"/>
        <v>4.0224358974358969</v>
      </c>
      <c r="S35" t="s">
        <v>99</v>
      </c>
    </row>
    <row r="36" spans="2:19" x14ac:dyDescent="0.25">
      <c r="B36" t="s">
        <v>13</v>
      </c>
      <c r="C36" t="s">
        <v>134</v>
      </c>
      <c r="D36" s="1">
        <v>190000</v>
      </c>
      <c r="E36" s="1">
        <v>4500</v>
      </c>
      <c r="F36">
        <v>8</v>
      </c>
      <c r="G36">
        <v>3</v>
      </c>
      <c r="H36">
        <v>0</v>
      </c>
      <c r="I36">
        <v>4</v>
      </c>
      <c r="J36">
        <f t="shared" si="0"/>
        <v>6000</v>
      </c>
      <c r="K36">
        <v>5</v>
      </c>
      <c r="L36">
        <f t="shared" si="1"/>
        <v>260</v>
      </c>
      <c r="M36">
        <f>5*8</f>
        <v>40</v>
      </c>
      <c r="N36">
        <f t="shared" si="2"/>
        <v>2080</v>
      </c>
      <c r="O36">
        <f t="shared" si="3"/>
        <v>23</v>
      </c>
      <c r="P36">
        <v>30</v>
      </c>
      <c r="Q36">
        <v>15</v>
      </c>
      <c r="R36" s="7">
        <f t="shared" si="4"/>
        <v>0.54086538461538458</v>
      </c>
      <c r="S36" t="s">
        <v>99</v>
      </c>
    </row>
    <row r="37" spans="2:19" x14ac:dyDescent="0.25">
      <c r="B37" t="s">
        <v>13</v>
      </c>
      <c r="C37" t="s">
        <v>135</v>
      </c>
      <c r="D37" s="1">
        <v>243000</v>
      </c>
      <c r="E37" s="1">
        <v>419358</v>
      </c>
      <c r="F37">
        <v>18</v>
      </c>
      <c r="G37">
        <v>12</v>
      </c>
      <c r="H37">
        <v>0</v>
      </c>
      <c r="I37">
        <v>4</v>
      </c>
      <c r="J37">
        <f t="shared" si="0"/>
        <v>139786</v>
      </c>
      <c r="K37">
        <v>6</v>
      </c>
      <c r="L37">
        <f t="shared" si="1"/>
        <v>312</v>
      </c>
      <c r="M37">
        <f>5*24+(1*11)</f>
        <v>131</v>
      </c>
      <c r="N37">
        <f t="shared" si="2"/>
        <v>6812</v>
      </c>
      <c r="O37">
        <f t="shared" si="3"/>
        <v>448</v>
      </c>
      <c r="P37">
        <v>30</v>
      </c>
      <c r="Q37">
        <v>15</v>
      </c>
      <c r="R37" s="7">
        <f t="shared" si="4"/>
        <v>18.668002136752136</v>
      </c>
      <c r="S37" t="s">
        <v>99</v>
      </c>
    </row>
    <row r="38" spans="2:19" x14ac:dyDescent="0.25">
      <c r="B38" t="s">
        <v>13</v>
      </c>
      <c r="C38" t="s">
        <v>136</v>
      </c>
      <c r="D38" s="1">
        <v>55000</v>
      </c>
      <c r="E38" s="1">
        <v>3846</v>
      </c>
      <c r="F38">
        <v>3</v>
      </c>
      <c r="G38">
        <v>5</v>
      </c>
      <c r="H38">
        <v>0</v>
      </c>
      <c r="I38">
        <v>4</v>
      </c>
      <c r="J38">
        <f t="shared" si="0"/>
        <v>3077</v>
      </c>
      <c r="K38">
        <v>5</v>
      </c>
      <c r="L38">
        <f t="shared" si="1"/>
        <v>260</v>
      </c>
      <c r="M38">
        <f>5*11</f>
        <v>55</v>
      </c>
      <c r="N38">
        <f t="shared" si="2"/>
        <v>2860</v>
      </c>
      <c r="O38">
        <f t="shared" si="3"/>
        <v>11</v>
      </c>
      <c r="P38">
        <v>30</v>
      </c>
      <c r="Q38">
        <v>15</v>
      </c>
      <c r="R38" s="7">
        <f t="shared" si="4"/>
        <v>1.2326923076923078</v>
      </c>
      <c r="S38" t="s">
        <v>99</v>
      </c>
    </row>
    <row r="39" spans="2:19" x14ac:dyDescent="0.25">
      <c r="B39" t="s">
        <v>14</v>
      </c>
      <c r="C39" t="s">
        <v>137</v>
      </c>
      <c r="D39" s="1">
        <v>320000</v>
      </c>
      <c r="E39" s="1">
        <v>87899</v>
      </c>
      <c r="F39">
        <v>5</v>
      </c>
      <c r="G39">
        <v>0</v>
      </c>
      <c r="H39">
        <v>3</v>
      </c>
      <c r="I39">
        <v>4</v>
      </c>
      <c r="J39">
        <f t="shared" si="0"/>
        <v>117199</v>
      </c>
      <c r="K39">
        <v>7</v>
      </c>
      <c r="L39">
        <f t="shared" si="1"/>
        <v>364</v>
      </c>
      <c r="M39">
        <f>7*24</f>
        <v>168</v>
      </c>
      <c r="N39">
        <f t="shared" si="2"/>
        <v>8736</v>
      </c>
      <c r="O39">
        <f t="shared" si="3"/>
        <v>321</v>
      </c>
      <c r="P39">
        <v>0</v>
      </c>
      <c r="Q39">
        <v>15</v>
      </c>
      <c r="R39" s="7">
        <f t="shared" si="4"/>
        <v>12.074038461538461</v>
      </c>
      <c r="S39" t="s">
        <v>99</v>
      </c>
    </row>
    <row r="40" spans="2:19" x14ac:dyDescent="0.25">
      <c r="B40" t="s">
        <v>14</v>
      </c>
      <c r="C40" t="s">
        <v>138</v>
      </c>
      <c r="D40" s="1">
        <v>225000</v>
      </c>
      <c r="E40" s="1">
        <v>16623</v>
      </c>
      <c r="F40">
        <v>4</v>
      </c>
      <c r="G40">
        <v>0</v>
      </c>
      <c r="H40">
        <v>5</v>
      </c>
      <c r="I40">
        <v>4</v>
      </c>
      <c r="J40">
        <f t="shared" si="0"/>
        <v>13298</v>
      </c>
      <c r="K40">
        <v>6</v>
      </c>
      <c r="L40">
        <f t="shared" si="1"/>
        <v>312</v>
      </c>
      <c r="M40">
        <f>5*13+(1*8)</f>
        <v>73</v>
      </c>
      <c r="N40">
        <f t="shared" si="2"/>
        <v>3796</v>
      </c>
      <c r="O40">
        <f t="shared" si="3"/>
        <v>42</v>
      </c>
      <c r="P40">
        <v>0</v>
      </c>
      <c r="Q40">
        <v>15</v>
      </c>
      <c r="R40" s="7">
        <f t="shared" si="4"/>
        <v>3.3299278846153846</v>
      </c>
      <c r="S40" t="s">
        <v>99</v>
      </c>
    </row>
    <row r="41" spans="2:19" x14ac:dyDescent="0.25">
      <c r="B41" t="s">
        <v>14</v>
      </c>
      <c r="C41" t="s">
        <v>139</v>
      </c>
      <c r="D41" s="1">
        <v>32976</v>
      </c>
      <c r="E41" s="1">
        <v>15277</v>
      </c>
      <c r="F41">
        <v>3</v>
      </c>
      <c r="G41">
        <v>0</v>
      </c>
      <c r="H41">
        <v>3</v>
      </c>
      <c r="I41">
        <v>4</v>
      </c>
      <c r="J41">
        <f t="shared" si="0"/>
        <v>20369</v>
      </c>
      <c r="K41">
        <v>6</v>
      </c>
      <c r="L41">
        <f t="shared" si="1"/>
        <v>312</v>
      </c>
      <c r="M41">
        <f>5*14+(1*8)</f>
        <v>78</v>
      </c>
      <c r="N41">
        <f t="shared" si="2"/>
        <v>4056</v>
      </c>
      <c r="O41">
        <f t="shared" si="3"/>
        <v>65</v>
      </c>
      <c r="P41">
        <v>0</v>
      </c>
      <c r="Q41">
        <v>15</v>
      </c>
      <c r="R41" s="7">
        <f t="shared" si="4"/>
        <v>4.080395299145299</v>
      </c>
      <c r="S41" t="s">
        <v>99</v>
      </c>
    </row>
    <row r="42" spans="2:19" x14ac:dyDescent="0.25">
      <c r="B42" t="s">
        <v>15</v>
      </c>
      <c r="C42" t="s">
        <v>140</v>
      </c>
      <c r="D42" s="1">
        <v>8000</v>
      </c>
      <c r="E42" s="1">
        <v>52788</v>
      </c>
      <c r="F42">
        <v>7</v>
      </c>
      <c r="G42">
        <v>4</v>
      </c>
      <c r="H42">
        <v>1</v>
      </c>
      <c r="I42">
        <v>4</v>
      </c>
      <c r="J42">
        <f t="shared" si="0"/>
        <v>42230</v>
      </c>
      <c r="K42">
        <v>5</v>
      </c>
      <c r="L42">
        <f t="shared" si="1"/>
        <v>260</v>
      </c>
      <c r="M42">
        <f>5*12</f>
        <v>60</v>
      </c>
      <c r="N42">
        <f t="shared" si="2"/>
        <v>3120</v>
      </c>
      <c r="O42">
        <f t="shared" si="3"/>
        <v>162</v>
      </c>
      <c r="P42">
        <v>30</v>
      </c>
      <c r="Q42">
        <v>15</v>
      </c>
      <c r="R42" s="7">
        <f t="shared" si="4"/>
        <v>7.2510989010989011</v>
      </c>
      <c r="S42" t="s">
        <v>99</v>
      </c>
    </row>
    <row r="43" spans="2:19" x14ac:dyDescent="0.25">
      <c r="B43" t="s">
        <v>17</v>
      </c>
      <c r="C43" t="s">
        <v>141</v>
      </c>
      <c r="D43" s="1">
        <v>270000</v>
      </c>
      <c r="E43" s="1">
        <v>506866</v>
      </c>
      <c r="F43">
        <v>9</v>
      </c>
      <c r="G43">
        <v>3</v>
      </c>
      <c r="H43">
        <v>9</v>
      </c>
      <c r="I43">
        <v>4</v>
      </c>
      <c r="J43">
        <f t="shared" si="0"/>
        <v>168955</v>
      </c>
      <c r="K43">
        <v>7</v>
      </c>
      <c r="L43">
        <f t="shared" si="1"/>
        <v>364</v>
      </c>
      <c r="M43">
        <f>7*24</f>
        <v>168</v>
      </c>
      <c r="N43">
        <f t="shared" si="2"/>
        <v>8736</v>
      </c>
      <c r="O43">
        <f t="shared" si="3"/>
        <v>464</v>
      </c>
      <c r="P43">
        <v>25</v>
      </c>
      <c r="Q43">
        <v>18</v>
      </c>
      <c r="R43" s="7">
        <f t="shared" si="4"/>
        <v>38.680250305250304</v>
      </c>
      <c r="S43" t="s">
        <v>99</v>
      </c>
    </row>
    <row r="44" spans="2:19" ht="15.75" thickBot="1" x14ac:dyDescent="0.3">
      <c r="B44" t="s">
        <v>17</v>
      </c>
      <c r="C44" t="s">
        <v>142</v>
      </c>
      <c r="D44" s="1">
        <v>99250</v>
      </c>
      <c r="E44" s="1">
        <v>28000</v>
      </c>
      <c r="F44">
        <v>4</v>
      </c>
      <c r="G44">
        <v>1</v>
      </c>
      <c r="H44">
        <v>2</v>
      </c>
      <c r="I44">
        <v>4</v>
      </c>
      <c r="J44">
        <f t="shared" si="0"/>
        <v>37333</v>
      </c>
      <c r="K44">
        <v>6</v>
      </c>
      <c r="L44">
        <f t="shared" si="1"/>
        <v>312</v>
      </c>
      <c r="M44">
        <f>5*9+(1*5)</f>
        <v>50</v>
      </c>
      <c r="N44">
        <f t="shared" si="2"/>
        <v>2600</v>
      </c>
      <c r="O44">
        <f t="shared" si="3"/>
        <v>119</v>
      </c>
      <c r="P44">
        <v>25</v>
      </c>
      <c r="Q44">
        <v>12</v>
      </c>
      <c r="R44" s="7">
        <f t="shared" si="4"/>
        <v>5.6089743589743586</v>
      </c>
      <c r="S44" t="s">
        <v>99</v>
      </c>
    </row>
    <row r="45" spans="2:19" ht="15.75" thickBot="1" x14ac:dyDescent="0.3">
      <c r="B45" s="2" t="s">
        <v>21</v>
      </c>
      <c r="C45" s="2"/>
      <c r="D45" s="3">
        <f t="shared" ref="D45:O45" si="5">INT(AVERAGE(D2:D44))</f>
        <v>109750</v>
      </c>
      <c r="E45" s="3">
        <f t="shared" si="5"/>
        <v>90367</v>
      </c>
      <c r="F45" s="3">
        <f t="shared" si="5"/>
        <v>5</v>
      </c>
      <c r="G45" s="3">
        <f t="shared" si="5"/>
        <v>3</v>
      </c>
      <c r="H45" s="3">
        <f t="shared" si="5"/>
        <v>1</v>
      </c>
      <c r="I45" s="4">
        <f t="shared" si="5"/>
        <v>4</v>
      </c>
      <c r="J45" s="4">
        <f t="shared" si="5"/>
        <v>74237</v>
      </c>
      <c r="K45" s="4">
        <f t="shared" si="5"/>
        <v>5</v>
      </c>
      <c r="L45" s="4">
        <f t="shared" si="5"/>
        <v>289</v>
      </c>
      <c r="M45" s="4">
        <f t="shared" si="5"/>
        <v>77</v>
      </c>
      <c r="N45" s="4">
        <f t="shared" si="5"/>
        <v>4025</v>
      </c>
      <c r="O45" s="4">
        <f t="shared" si="5"/>
        <v>256</v>
      </c>
      <c r="P45" s="4"/>
      <c r="R45" s="7">
        <f t="shared" si="4"/>
        <v>15.634429065743946</v>
      </c>
    </row>
    <row r="47" spans="2:19" x14ac:dyDescent="0.25">
      <c r="C47" t="s">
        <v>22</v>
      </c>
      <c r="D47" s="1">
        <f>LN(D45)</f>
        <v>11.605960330937418</v>
      </c>
      <c r="E47" s="1">
        <f t="shared" ref="E47:O47" si="6">LN(E45)</f>
        <v>11.41163443548761</v>
      </c>
      <c r="F47" s="1">
        <f t="shared" si="6"/>
        <v>1.6094379124341003</v>
      </c>
      <c r="G47" s="1">
        <f t="shared" si="6"/>
        <v>1.0986122886681098</v>
      </c>
      <c r="H47" s="1">
        <f t="shared" si="6"/>
        <v>0</v>
      </c>
      <c r="I47" s="1"/>
      <c r="J47" s="1">
        <f t="shared" si="6"/>
        <v>11.215017957160839</v>
      </c>
      <c r="K47" s="1"/>
      <c r="L47" s="1"/>
      <c r="M47" s="1"/>
      <c r="N47" s="1"/>
      <c r="O47" s="1">
        <f t="shared" si="6"/>
        <v>5.5451774444795623</v>
      </c>
      <c r="P47" s="1"/>
      <c r="Q47" s="1"/>
    </row>
    <row r="48" spans="2:19" x14ac:dyDescent="0.25">
      <c r="C48" t="s">
        <v>23</v>
      </c>
      <c r="D48" s="1">
        <f>LOG(D45)</f>
        <v>5.0404045289141592</v>
      </c>
      <c r="E48" s="1">
        <f t="shared" ref="E48:O48" si="7">LOG(E45)</f>
        <v>4.9560098648293991</v>
      </c>
      <c r="F48" s="1">
        <f t="shared" si="7"/>
        <v>0.69897000433601886</v>
      </c>
      <c r="G48" s="1">
        <f t="shared" si="7"/>
        <v>0.47712125471966244</v>
      </c>
      <c r="H48" s="1">
        <f t="shared" si="7"/>
        <v>0</v>
      </c>
      <c r="I48" s="1"/>
      <c r="J48" s="1">
        <f t="shared" si="7"/>
        <v>4.8706204132408324</v>
      </c>
      <c r="K48" s="1"/>
      <c r="L48" s="1"/>
      <c r="M48" s="1"/>
      <c r="N48" s="1"/>
      <c r="O48" s="1">
        <f t="shared" si="7"/>
        <v>2.4082399653118496</v>
      </c>
      <c r="P48" s="1"/>
      <c r="Q48" s="1"/>
    </row>
    <row r="50" spans="2:19" x14ac:dyDescent="0.25">
      <c r="B50" t="s">
        <v>145</v>
      </c>
    </row>
    <row r="51" spans="2:19" s="6" customFormat="1" ht="38.25" x14ac:dyDescent="0.25">
      <c r="C51" s="5" t="s">
        <v>1</v>
      </c>
      <c r="D51" s="5" t="s">
        <v>2</v>
      </c>
      <c r="E51" s="5" t="s">
        <v>6</v>
      </c>
      <c r="F51" s="5" t="s">
        <v>3</v>
      </c>
      <c r="G51" s="5" t="s">
        <v>4</v>
      </c>
      <c r="H51" s="5" t="s">
        <v>18</v>
      </c>
      <c r="I51" s="5" t="s">
        <v>24</v>
      </c>
      <c r="J51" s="5" t="s">
        <v>19</v>
      </c>
      <c r="K51" s="5" t="s">
        <v>29</v>
      </c>
      <c r="L51" s="5"/>
      <c r="M51" s="5" t="s">
        <v>28</v>
      </c>
      <c r="N51" s="5" t="s">
        <v>27</v>
      </c>
      <c r="O51" s="5" t="s">
        <v>20</v>
      </c>
      <c r="P51" s="5" t="s">
        <v>25</v>
      </c>
      <c r="Q51" s="5" t="s">
        <v>26</v>
      </c>
      <c r="S51" s="5" t="s">
        <v>98</v>
      </c>
    </row>
    <row r="52" spans="2:19" x14ac:dyDescent="0.25">
      <c r="B52" t="s">
        <v>16</v>
      </c>
      <c r="C52" t="s">
        <v>143</v>
      </c>
      <c r="D52" s="1" t="s">
        <v>12</v>
      </c>
      <c r="E52" s="1">
        <v>12000</v>
      </c>
      <c r="F52">
        <v>2</v>
      </c>
      <c r="G52">
        <v>2</v>
      </c>
      <c r="H52">
        <v>1</v>
      </c>
      <c r="I52">
        <v>4</v>
      </c>
      <c r="J52">
        <f>ROUND(E52*I52/(G52+H52),0)</f>
        <v>16000</v>
      </c>
      <c r="O52">
        <f>INT(J52/365)</f>
        <v>43</v>
      </c>
      <c r="P52">
        <v>30</v>
      </c>
      <c r="Q52">
        <v>15</v>
      </c>
      <c r="S52" t="s">
        <v>99</v>
      </c>
    </row>
    <row r="53" spans="2:19" x14ac:dyDescent="0.25">
      <c r="B53" t="s">
        <v>7</v>
      </c>
      <c r="C53" t="s">
        <v>144</v>
      </c>
      <c r="D53" s="1">
        <v>7000</v>
      </c>
      <c r="E53" s="1">
        <v>6346</v>
      </c>
      <c r="F53">
        <v>1</v>
      </c>
      <c r="G53">
        <v>1</v>
      </c>
      <c r="H53">
        <v>1</v>
      </c>
      <c r="I53">
        <v>5</v>
      </c>
      <c r="J53">
        <f>ROUND(E53*I53/(G53+H53),0)</f>
        <v>15865</v>
      </c>
      <c r="K53">
        <v>5</v>
      </c>
      <c r="M53">
        <f>5*10</f>
        <v>50</v>
      </c>
      <c r="O53">
        <f>INT(J53/365)</f>
        <v>43</v>
      </c>
      <c r="P53">
        <v>30</v>
      </c>
      <c r="Q53">
        <v>15</v>
      </c>
      <c r="S53" t="s">
        <v>99</v>
      </c>
    </row>
  </sheetData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train traction</vt:lpstr>
      <vt:lpstr>co2e calc</vt:lpstr>
      <vt:lpstr>terminals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2019-02-23T14:09:45Z</dcterms:created>
  <dcterms:modified xsi:type="dcterms:W3CDTF">2019-02-23T14:11:39Z</dcterms:modified>
</cp:coreProperties>
</file>