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W10\Desktop\"/>
    </mc:Choice>
  </mc:AlternateContent>
  <bookViews>
    <workbookView xWindow="0" yWindow="0" windowWidth="20490" windowHeight="7755" activeTab="5"/>
  </bookViews>
  <sheets>
    <sheet name="Ranking" sheetId="1" r:id="rId1"/>
    <sheet name="Range" sheetId="2" r:id="rId2"/>
    <sheet name="Sheet3" sheetId="3" r:id="rId3"/>
    <sheet name="Sheet4" sheetId="4" r:id="rId4"/>
    <sheet name="Sheet5" sheetId="5" r:id="rId5"/>
    <sheet name="Sheet6" sheetId="6" r:id="rId6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  <c r="K12" i="6"/>
  <c r="J12" i="6"/>
  <c r="I12" i="6"/>
  <c r="K11" i="6"/>
  <c r="J11" i="6"/>
  <c r="I11" i="6"/>
  <c r="K10" i="6"/>
  <c r="J10" i="6"/>
  <c r="I10" i="6"/>
  <c r="K9" i="6"/>
  <c r="J9" i="6"/>
  <c r="I9" i="6"/>
  <c r="K8" i="6"/>
  <c r="J8" i="6"/>
  <c r="I8" i="6"/>
  <c r="K7" i="6"/>
  <c r="J7" i="6"/>
  <c r="I7" i="6"/>
  <c r="K6" i="6"/>
  <c r="K13" i="6" s="1"/>
  <c r="J6" i="6"/>
  <c r="I6" i="6"/>
  <c r="I13" i="6" s="1"/>
  <c r="K5" i="6"/>
  <c r="J5" i="6"/>
  <c r="J13" i="6" s="1"/>
  <c r="I5" i="6"/>
  <c r="V21" i="5"/>
  <c r="S21" i="5"/>
  <c r="V20" i="5"/>
  <c r="S20" i="5"/>
  <c r="V19" i="5"/>
  <c r="S19" i="5"/>
  <c r="K14" i="5"/>
  <c r="I14" i="5"/>
  <c r="K13" i="5"/>
  <c r="I13" i="5"/>
  <c r="K12" i="5"/>
  <c r="I12" i="5"/>
  <c r="K11" i="5"/>
  <c r="I11" i="5"/>
  <c r="K10" i="5"/>
  <c r="I10" i="5"/>
  <c r="K9" i="5"/>
  <c r="I9" i="5"/>
  <c r="D16" i="4"/>
  <c r="W13" i="4"/>
  <c r="X13" i="4" s="1"/>
  <c r="V13" i="4"/>
  <c r="N13" i="4"/>
  <c r="Q13" i="4" s="1"/>
  <c r="R13" i="4" s="1"/>
  <c r="K13" i="4"/>
  <c r="L13" i="4" s="1"/>
  <c r="I13" i="4"/>
  <c r="J13" i="4" s="1"/>
  <c r="H13" i="4"/>
  <c r="V12" i="4"/>
  <c r="Y12" i="4" s="1"/>
  <c r="Z12" i="4" s="1"/>
  <c r="Q12" i="4"/>
  <c r="R12" i="4" s="1"/>
  <c r="O12" i="4"/>
  <c r="P12" i="4" s="1"/>
  <c r="N12" i="4"/>
  <c r="H12" i="4"/>
  <c r="I12" i="4" s="1"/>
  <c r="J12" i="4" s="1"/>
  <c r="Y11" i="4"/>
  <c r="Z11" i="4" s="1"/>
  <c r="W11" i="4"/>
  <c r="X11" i="4" s="1"/>
  <c r="V11" i="4"/>
  <c r="N11" i="4"/>
  <c r="Q11" i="4" s="1"/>
  <c r="R11" i="4" s="1"/>
  <c r="I11" i="4"/>
  <c r="J11" i="4" s="1"/>
  <c r="H11" i="4"/>
  <c r="V9" i="4"/>
  <c r="Y9" i="4" s="1"/>
  <c r="Z9" i="4" s="1"/>
  <c r="N9" i="4"/>
  <c r="O9" i="4" s="1"/>
  <c r="L9" i="4"/>
  <c r="H9" i="4"/>
  <c r="I9" i="4" s="1"/>
  <c r="J9" i="4" s="1"/>
  <c r="Z8" i="4"/>
  <c r="X8" i="4"/>
  <c r="W8" i="4"/>
  <c r="N8" i="4"/>
  <c r="Q8" i="4" s="1"/>
  <c r="R8" i="4" s="1"/>
  <c r="K8" i="4"/>
  <c r="L8" i="4" s="1"/>
  <c r="I8" i="4"/>
  <c r="J8" i="4" s="1"/>
  <c r="H8" i="4"/>
  <c r="V6" i="4"/>
  <c r="Y6" i="4" s="1"/>
  <c r="Z6" i="4" s="1"/>
  <c r="Q6" i="4"/>
  <c r="R6" i="4" s="1"/>
  <c r="O6" i="4"/>
  <c r="P6" i="4" s="1"/>
  <c r="N6" i="4"/>
  <c r="H6" i="4"/>
  <c r="K6" i="4" s="1"/>
  <c r="L6" i="4" s="1"/>
  <c r="Y4" i="4"/>
  <c r="Z4" i="4" s="1"/>
  <c r="W4" i="4"/>
  <c r="X4" i="4" s="1"/>
  <c r="V4" i="4"/>
  <c r="N4" i="4"/>
  <c r="Q4" i="4" s="1"/>
  <c r="R4" i="4" s="1"/>
  <c r="I4" i="4"/>
  <c r="J4" i="4" s="1"/>
  <c r="H4" i="4"/>
  <c r="Z3" i="4"/>
  <c r="Z15" i="4" s="1"/>
  <c r="W3" i="4"/>
  <c r="X3" i="4" s="1"/>
  <c r="V3" i="4"/>
  <c r="N3" i="4"/>
  <c r="Q3" i="4" s="1"/>
  <c r="R3" i="4" s="1"/>
  <c r="K3" i="4"/>
  <c r="L3" i="4" s="1"/>
  <c r="L15" i="4" s="1"/>
  <c r="I3" i="4"/>
  <c r="J3" i="4" s="1"/>
  <c r="H3" i="4"/>
  <c r="H62" i="2"/>
  <c r="G62" i="2"/>
  <c r="H53" i="2"/>
  <c r="H46" i="2"/>
  <c r="H38" i="2"/>
  <c r="H30" i="2"/>
  <c r="H19" i="2"/>
  <c r="G19" i="2"/>
  <c r="H11" i="2"/>
  <c r="G11" i="2"/>
  <c r="H2" i="2"/>
  <c r="G2" i="2"/>
  <c r="L13" i="6" l="1"/>
  <c r="Q9" i="4"/>
  <c r="R9" i="4" s="1"/>
  <c r="R15" i="4" s="1"/>
  <c r="O3" i="4"/>
  <c r="P3" i="4" s="1"/>
  <c r="O4" i="4"/>
  <c r="P4" i="4" s="1"/>
  <c r="I6" i="4"/>
  <c r="J6" i="4" s="1"/>
  <c r="J15" i="4" s="1"/>
  <c r="W6" i="4"/>
  <c r="X6" i="4" s="1"/>
  <c r="O8" i="4"/>
  <c r="P8" i="4" s="1"/>
  <c r="W9" i="4"/>
  <c r="X9" i="4" s="1"/>
  <c r="W12" i="4"/>
  <c r="X12" i="4" s="1"/>
  <c r="X15" i="4" s="1"/>
  <c r="O13" i="4"/>
  <c r="P13" i="4" s="1"/>
  <c r="P15" i="4" l="1"/>
</calcChain>
</file>

<file path=xl/sharedStrings.xml><?xml version="1.0" encoding="utf-8"?>
<sst xmlns="http://schemas.openxmlformats.org/spreadsheetml/2006/main" count="270" uniqueCount="134">
  <si>
    <t xml:space="preserve">Main criteria </t>
  </si>
  <si>
    <t xml:space="preserve">Sub-criteria </t>
  </si>
  <si>
    <t>Source of data</t>
  </si>
  <si>
    <t>unit</t>
  </si>
  <si>
    <t>BKK</t>
  </si>
  <si>
    <t>SIN</t>
  </si>
  <si>
    <t>KUL</t>
  </si>
  <si>
    <t>Geographical</t>
  </si>
  <si>
    <t xml:space="preserve">Airport connect to </t>
  </si>
  <si>
    <t>World bank</t>
  </si>
  <si>
    <t>LPI</t>
  </si>
  <si>
    <t>other mode of transport</t>
  </si>
  <si>
    <t>Index</t>
  </si>
  <si>
    <t xml:space="preserve">Opinion about airport </t>
  </si>
  <si>
    <t>Survey</t>
  </si>
  <si>
    <t>Count</t>
  </si>
  <si>
    <t>infrastructure</t>
  </si>
  <si>
    <t>Economic</t>
  </si>
  <si>
    <t>GDP</t>
  </si>
  <si>
    <t>US$</t>
  </si>
  <si>
    <t>Operational</t>
  </si>
  <si>
    <t>Landling Fee</t>
  </si>
  <si>
    <t>web site each</t>
  </si>
  <si>
    <t>Movement</t>
  </si>
  <si>
    <t>airport</t>
  </si>
  <si>
    <t>Opinion about airport</t>
  </si>
  <si>
    <t>service quality</t>
  </si>
  <si>
    <t xml:space="preserve">Customs administrations </t>
  </si>
  <si>
    <t xml:space="preserve">Size of cargo terminal </t>
  </si>
  <si>
    <t>Sqm</t>
  </si>
  <si>
    <t>Other</t>
  </si>
  <si>
    <t xml:space="preserve">Opinion about </t>
  </si>
  <si>
    <t>count</t>
  </si>
  <si>
    <t>government regulations</t>
  </si>
  <si>
    <t xml:space="preserve"> Airport connect to other mode of transport </t>
  </si>
  <si>
    <t>Level</t>
  </si>
  <si>
    <t>Score</t>
  </si>
  <si>
    <t>Range (LPI index)</t>
  </si>
  <si>
    <t>Below 3.34</t>
  </si>
  <si>
    <t>3.34 - 3.53</t>
  </si>
  <si>
    <t>3.53 - 3.72</t>
  </si>
  <si>
    <t>3.72 - 3.91</t>
  </si>
  <si>
    <t>More than 3.91</t>
  </si>
  <si>
    <t>airport infrastructure</t>
  </si>
  <si>
    <t>Range (Survey responses)</t>
  </si>
  <si>
    <t>Below 3.35</t>
  </si>
  <si>
    <t>3.35 - 3.56</t>
  </si>
  <si>
    <t>3.56 - 3.78</t>
  </si>
  <si>
    <t>3.78 - 3.99</t>
  </si>
  <si>
    <t>More than 3.99</t>
  </si>
  <si>
    <t xml:space="preserve">GDP </t>
  </si>
  <si>
    <t>Range ($US)</t>
  </si>
  <si>
    <t>Below 195226338880.65</t>
  </si>
  <si>
    <t>195226338880.65 - 209929852117.44</t>
  </si>
  <si>
    <t>20992985211.44 - 224633365354.23</t>
  </si>
  <si>
    <t>224633365354.23 - 239336878591.02</t>
  </si>
  <si>
    <t>More than 239336878591</t>
  </si>
  <si>
    <t>Landling fee</t>
  </si>
  <si>
    <t>Range (US$)</t>
  </si>
  <si>
    <t>More than 3383.31</t>
  </si>
  <si>
    <t>3383.31 - 2555.92</t>
  </si>
  <si>
    <t>2555.92 - 1728.53</t>
  </si>
  <si>
    <t>1728.53 - 901.14</t>
  </si>
  <si>
    <t>Below 901.14</t>
  </si>
  <si>
    <t>Airpot service quality</t>
  </si>
  <si>
    <t>Below 3.39</t>
  </si>
  <si>
    <t>3.39 - 3.53</t>
  </si>
  <si>
    <t>3.53 - 3.68</t>
  </si>
  <si>
    <t>3.68 - 3.82</t>
  </si>
  <si>
    <t>More than 3.82</t>
  </si>
  <si>
    <t>Custom Admi</t>
  </si>
  <si>
    <t>Below 3.7</t>
  </si>
  <si>
    <t>3.7 - 3.5</t>
  </si>
  <si>
    <t>3.5 - 3.3</t>
  </si>
  <si>
    <t>3.3 - 3.1</t>
  </si>
  <si>
    <t>More than 3.1</t>
  </si>
  <si>
    <t>Size of cargo terminal</t>
  </si>
  <si>
    <t>Range (sqm3)</t>
  </si>
  <si>
    <t>Below 124250</t>
  </si>
  <si>
    <t>124250 - 215750</t>
  </si>
  <si>
    <t>215750 - 307250</t>
  </si>
  <si>
    <t>307250 - 398750</t>
  </si>
  <si>
    <t>More than 398750</t>
  </si>
  <si>
    <t>Government regulation</t>
  </si>
  <si>
    <t>Below 3.904</t>
  </si>
  <si>
    <t>3.904 - 3.968</t>
  </si>
  <si>
    <t>3.968 - 4.096</t>
  </si>
  <si>
    <t>4.032 - 4.096</t>
  </si>
  <si>
    <t>More than 4.096</t>
  </si>
  <si>
    <t xml:space="preserve"> </t>
  </si>
  <si>
    <t>Weight</t>
  </si>
  <si>
    <t>Max</t>
  </si>
  <si>
    <t>Min</t>
  </si>
  <si>
    <t>norxwight</t>
  </si>
  <si>
    <t>D+</t>
  </si>
  <si>
    <t>D-</t>
  </si>
  <si>
    <t>Airport connect to</t>
  </si>
  <si>
    <t xml:space="preserve">count </t>
  </si>
  <si>
    <t>Landing Fee</t>
  </si>
  <si>
    <t>Customs administrations</t>
  </si>
  <si>
    <t>Other 0.25</t>
  </si>
  <si>
    <t>Opinion about government</t>
  </si>
  <si>
    <t>regulations</t>
  </si>
  <si>
    <t>CGK</t>
  </si>
  <si>
    <t>SGN</t>
  </si>
  <si>
    <t>MNL</t>
  </si>
  <si>
    <t>d+</t>
  </si>
  <si>
    <t>d-</t>
  </si>
  <si>
    <t>Airport</t>
  </si>
  <si>
    <t>S+</t>
  </si>
  <si>
    <t xml:space="preserve">S⁻ </t>
  </si>
  <si>
    <t>CC</t>
  </si>
  <si>
    <t>Ranking</t>
  </si>
  <si>
    <t>C</t>
  </si>
  <si>
    <t>Airport S+ S- CC Ranking</t>
  </si>
  <si>
    <t>BKK 0.177 0.154 0.465 2</t>
  </si>
  <si>
    <t>SIN 0.087 0.309 0.780 1</t>
  </si>
  <si>
    <t>KUL 0.202 0.134 0.400 3</t>
  </si>
  <si>
    <t>CGK 0.266 0.113 0.298 5</t>
  </si>
  <si>
    <t>SGN 0.322 0.030 0.085 6</t>
  </si>
  <si>
    <t>MNL 0.240 0.106 0.305 4</t>
  </si>
  <si>
    <t>CRITERIA</t>
  </si>
  <si>
    <t>WEIGHT</t>
  </si>
  <si>
    <t>AIRPORTCON</t>
  </si>
  <si>
    <t>AIRPORTINFRA</t>
  </si>
  <si>
    <t>LANFEE</t>
  </si>
  <si>
    <t>AIRQC</t>
  </si>
  <si>
    <t>CUSAD</t>
  </si>
  <si>
    <t>SIZETER</t>
  </si>
  <si>
    <t>GOVREG</t>
  </si>
  <si>
    <t>sum</t>
  </si>
  <si>
    <t>Alternatives</t>
  </si>
  <si>
    <t>Preference</t>
  </si>
  <si>
    <t>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</si>
</sst>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0E+00"/>
    <numFmt numFmtId="167" formatCode="0.000"/>
    <numFmt numFmtId="168" formatCode="0.00000"/>
    <numFmt numFmtId="169" formatCode="0.000000"/>
    <numFmt numFmtId="170" formatCode="0.0000000"/>
    <numFmt numFmtId="171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>
      <alignment horizontal="center" textRotation="90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1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/>
    <xf numFmtId="1" fontId="2" fillId="0" borderId="2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1" fontId="2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" fontId="2" fillId="0" borderId="3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vertical="center"/>
    </xf>
    <xf numFmtId="1" fontId="2" fillId="0" borderId="6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 applyAlignment="1">
      <alignment vertical="center"/>
    </xf>
    <xf numFmtId="1" fontId="2" fillId="0" borderId="0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1" fontId="2" fillId="0" borderId="6" xfId="1" applyNumberFormat="1" applyFont="1" applyBorder="1" applyAlignment="1">
      <alignment horizontal="center"/>
    </xf>
    <xf numFmtId="0" fontId="0" fillId="0" borderId="8" xfId="0" applyBorder="1"/>
    <xf numFmtId="0" fontId="2" fillId="0" borderId="7" xfId="0" applyFont="1" applyBorder="1"/>
    <xf numFmtId="0" fontId="0" fillId="0" borderId="9" xfId="0" applyBorder="1"/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43" fontId="4" fillId="0" borderId="0" xfId="1" applyFont="1"/>
    <xf numFmtId="43" fontId="0" fillId="0" borderId="0" xfId="1" applyFont="1"/>
    <xf numFmtId="164" fontId="0" fillId="0" borderId="0" xfId="0" applyNumberFormat="1"/>
    <xf numFmtId="0" fontId="4" fillId="0" borderId="0" xfId="0" applyFont="1" applyBorder="1"/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Border="1"/>
    <xf numFmtId="43" fontId="4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6" fontId="0" fillId="0" borderId="0" xfId="0" applyNumberFormat="1"/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" fontId="4" fillId="3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/>
    </xf>
    <xf numFmtId="0" fontId="3" fillId="5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5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3" borderId="2" xfId="0" applyFont="1" applyFill="1" applyBorder="1"/>
    <xf numFmtId="0" fontId="3" fillId="4" borderId="2" xfId="0" applyFont="1" applyFill="1" applyBorder="1"/>
    <xf numFmtId="167" fontId="3" fillId="0" borderId="2" xfId="0" applyNumberFormat="1" applyFont="1" applyBorder="1" applyAlignment="1">
      <alignment vertical="center"/>
    </xf>
    <xf numFmtId="167" fontId="3" fillId="5" borderId="2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169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vertical="center"/>
    </xf>
    <xf numFmtId="2" fontId="3" fillId="5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3" borderId="8" xfId="0" applyFont="1" applyFill="1" applyBorder="1"/>
    <xf numFmtId="0" fontId="3" fillId="4" borderId="8" xfId="0" applyFont="1" applyFill="1" applyBorder="1"/>
    <xf numFmtId="167" fontId="3" fillId="0" borderId="8" xfId="0" applyNumberFormat="1" applyFont="1" applyBorder="1" applyAlignment="1">
      <alignment vertical="center"/>
    </xf>
    <xf numFmtId="167" fontId="3" fillId="5" borderId="8" xfId="0" applyNumberFormat="1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9" fontId="3" fillId="0" borderId="8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168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3" borderId="3" xfId="0" applyFont="1" applyFill="1" applyBorder="1"/>
    <xf numFmtId="0" fontId="3" fillId="4" borderId="3" xfId="0" applyFont="1" applyFill="1" applyBorder="1"/>
    <xf numFmtId="167" fontId="3" fillId="0" borderId="3" xfId="0" applyNumberFormat="1" applyFont="1" applyBorder="1" applyAlignment="1">
      <alignment vertical="center"/>
    </xf>
    <xf numFmtId="167" fontId="3" fillId="5" borderId="4" xfId="0" applyNumberFormat="1" applyFont="1" applyFill="1" applyBorder="1" applyAlignment="1">
      <alignment horizontal="center" vertical="center"/>
    </xf>
    <xf numFmtId="169" fontId="3" fillId="0" borderId="0" xfId="0" applyNumberFormat="1" applyFont="1" applyBorder="1" applyAlignment="1">
      <alignment horizontal="center" vertical="center"/>
    </xf>
    <xf numFmtId="169" fontId="3" fillId="0" borderId="1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2" fontId="3" fillId="5" borderId="4" xfId="0" applyNumberFormat="1" applyFont="1" applyFill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7" fontId="3" fillId="0" borderId="2" xfId="1" applyNumberFormat="1" applyFont="1" applyBorder="1" applyAlignment="1">
      <alignment horizontal="center"/>
    </xf>
    <xf numFmtId="167" fontId="3" fillId="5" borderId="2" xfId="1" applyNumberFormat="1" applyFont="1" applyFill="1" applyBorder="1" applyAlignment="1">
      <alignment horizontal="center"/>
    </xf>
    <xf numFmtId="168" fontId="3" fillId="0" borderId="5" xfId="1" applyNumberFormat="1" applyFont="1" applyBorder="1" applyAlignment="1">
      <alignment horizontal="center"/>
    </xf>
    <xf numFmtId="169" fontId="3" fillId="0" borderId="2" xfId="1" applyNumberFormat="1" applyFont="1" applyBorder="1" applyAlignment="1">
      <alignment horizontal="center"/>
    </xf>
    <xf numFmtId="170" fontId="3" fillId="0" borderId="6" xfId="1" applyNumberFormat="1" applyFont="1" applyBorder="1" applyAlignment="1">
      <alignment horizontal="center"/>
    </xf>
    <xf numFmtId="167" fontId="3" fillId="0" borderId="6" xfId="1" applyNumberFormat="1" applyFont="1" applyBorder="1" applyAlignment="1">
      <alignment horizontal="center"/>
    </xf>
    <xf numFmtId="171" fontId="3" fillId="5" borderId="2" xfId="1" applyNumberFormat="1" applyFont="1" applyFill="1" applyBorder="1" applyAlignment="1">
      <alignment horizontal="center"/>
    </xf>
    <xf numFmtId="168" fontId="3" fillId="0" borderId="6" xfId="1" applyNumberFormat="1" applyFont="1" applyBorder="1" applyAlignment="1">
      <alignment horizontal="center"/>
    </xf>
    <xf numFmtId="168" fontId="3" fillId="0" borderId="2" xfId="1" applyNumberFormat="1" applyFont="1" applyBorder="1" applyAlignment="1">
      <alignment horizontal="center"/>
    </xf>
    <xf numFmtId="169" fontId="3" fillId="0" borderId="6" xfId="1" applyNumberFormat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5" borderId="8" xfId="0" applyNumberFormat="1" applyFont="1" applyFill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69" fontId="3" fillId="0" borderId="8" xfId="0" applyNumberFormat="1" applyFont="1" applyBorder="1" applyAlignment="1">
      <alignment horizontal="center"/>
    </xf>
    <xf numFmtId="170" fontId="3" fillId="0" borderId="9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8" fontId="3" fillId="0" borderId="9" xfId="0" applyNumberFormat="1" applyFont="1" applyBorder="1" applyAlignment="1">
      <alignment horizontal="center"/>
    </xf>
    <xf numFmtId="170" fontId="3" fillId="0" borderId="8" xfId="0" applyNumberFormat="1" applyFont="1" applyBorder="1" applyAlignment="1">
      <alignment horizontal="center"/>
    </xf>
    <xf numFmtId="169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7" fontId="3" fillId="0" borderId="2" xfId="1" applyNumberFormat="1" applyFont="1" applyBorder="1" applyAlignment="1">
      <alignment horizontal="center" vertical="center"/>
    </xf>
    <xf numFmtId="167" fontId="3" fillId="5" borderId="2" xfId="1" applyNumberFormat="1" applyFont="1" applyFill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169" fontId="3" fillId="0" borderId="2" xfId="1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7" fontId="3" fillId="0" borderId="8" xfId="1" applyNumberFormat="1" applyFont="1" applyBorder="1" applyAlignment="1">
      <alignment horizontal="center" vertical="center"/>
    </xf>
    <xf numFmtId="167" fontId="3" fillId="5" borderId="8" xfId="1" applyNumberFormat="1" applyFont="1" applyFill="1" applyBorder="1" applyAlignment="1">
      <alignment horizontal="center" vertical="center"/>
    </xf>
    <xf numFmtId="168" fontId="3" fillId="0" borderId="8" xfId="1" applyNumberFormat="1" applyFont="1" applyBorder="1" applyAlignment="1">
      <alignment horizontal="center" vertical="center"/>
    </xf>
    <xf numFmtId="169" fontId="3" fillId="0" borderId="8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8" fontId="3" fillId="5" borderId="2" xfId="1" applyNumberFormat="1" applyFont="1" applyFill="1" applyBorder="1" applyAlignment="1">
      <alignment horizontal="center"/>
    </xf>
    <xf numFmtId="168" fontId="3" fillId="0" borderId="10" xfId="1" applyNumberFormat="1" applyFont="1" applyBorder="1" applyAlignment="1">
      <alignment horizontal="center"/>
    </xf>
    <xf numFmtId="167" fontId="3" fillId="5" borderId="6" xfId="1" applyNumberFormat="1" applyFont="1" applyFill="1" applyBorder="1" applyAlignment="1">
      <alignment horizontal="center"/>
    </xf>
    <xf numFmtId="169" fontId="3" fillId="0" borderId="10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7" fontId="3" fillId="0" borderId="9" xfId="1" applyNumberFormat="1" applyFont="1" applyBorder="1" applyAlignment="1">
      <alignment horizontal="center"/>
    </xf>
    <xf numFmtId="167" fontId="3" fillId="5" borderId="8" xfId="1" applyNumberFormat="1" applyFont="1" applyFill="1" applyBorder="1" applyAlignment="1">
      <alignment horizontal="center"/>
    </xf>
    <xf numFmtId="168" fontId="3" fillId="0" borderId="9" xfId="1" applyNumberFormat="1" applyFont="1" applyBorder="1" applyAlignment="1">
      <alignment horizontal="center"/>
    </xf>
    <xf numFmtId="169" fontId="3" fillId="0" borderId="8" xfId="1" applyNumberFormat="1" applyFont="1" applyBorder="1" applyAlignment="1">
      <alignment horizontal="center"/>
    </xf>
    <xf numFmtId="169" fontId="3" fillId="0" borderId="9" xfId="1" applyNumberFormat="1" applyFont="1" applyBorder="1" applyAlignment="1">
      <alignment horizontal="center"/>
    </xf>
    <xf numFmtId="168" fontId="3" fillId="5" borderId="8" xfId="1" applyNumberFormat="1" applyFont="1" applyFill="1" applyBorder="1" applyAlignment="1">
      <alignment horizontal="center"/>
    </xf>
    <xf numFmtId="168" fontId="3" fillId="0" borderId="12" xfId="1" applyNumberFormat="1" applyFont="1" applyBorder="1" applyAlignment="1">
      <alignment horizontal="center"/>
    </xf>
    <xf numFmtId="168" fontId="3" fillId="0" borderId="7" xfId="1" applyNumberFormat="1" applyFont="1" applyBorder="1" applyAlignment="1">
      <alignment horizontal="center"/>
    </xf>
    <xf numFmtId="168" fontId="3" fillId="0" borderId="8" xfId="1" applyNumberFormat="1" applyFont="1" applyBorder="1" applyAlignment="1">
      <alignment horizontal="center"/>
    </xf>
    <xf numFmtId="170" fontId="3" fillId="0" borderId="9" xfId="1" applyNumberFormat="1" applyFont="1" applyBorder="1" applyAlignment="1">
      <alignment horizontal="center"/>
    </xf>
    <xf numFmtId="167" fontId="3" fillId="0" borderId="8" xfId="1" applyNumberFormat="1" applyFont="1" applyBorder="1" applyAlignment="1">
      <alignment horizontal="center"/>
    </xf>
    <xf numFmtId="167" fontId="3" fillId="5" borderId="9" xfId="1" applyNumberFormat="1" applyFont="1" applyFill="1" applyBorder="1" applyAlignment="1">
      <alignment horizontal="center"/>
    </xf>
    <xf numFmtId="169" fontId="3" fillId="0" borderId="12" xfId="1" applyNumberFormat="1" applyFont="1" applyBorder="1" applyAlignment="1">
      <alignment horizontal="center"/>
    </xf>
    <xf numFmtId="0" fontId="3" fillId="0" borderId="11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169" fontId="0" fillId="0" borderId="0" xfId="0" applyNumberFormat="1"/>
    <xf numFmtId="168" fontId="0" fillId="0" borderId="0" xfId="0" applyNumberFormat="1"/>
    <xf numFmtId="0" fontId="0" fillId="5" borderId="0" xfId="0" applyFill="1" applyAlignment="1">
      <alignment horizontal="right"/>
    </xf>
    <xf numFmtId="171" fontId="0" fillId="0" borderId="0" xfId="0" applyNumberFormat="1"/>
    <xf numFmtId="168" fontId="0" fillId="0" borderId="0" xfId="0" applyNumberFormat="1" applyAlignment="1">
      <alignment horizontal="right"/>
    </xf>
    <xf numFmtId="170" fontId="0" fillId="0" borderId="0" xfId="0" applyNumberFormat="1"/>
    <xf numFmtId="168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7" fontId="4" fillId="0" borderId="1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3" borderId="0" xfId="0" applyFont="1" applyFill="1"/>
    <xf numFmtId="0" fontId="6" fillId="0" borderId="5" xfId="0" applyFont="1" applyBorder="1"/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K18" sqref="K18"/>
    </sheetView>
  </sheetViews>
  <sheetFormatPr defaultRowHeight="15" x14ac:dyDescent="0.25"/>
  <cols>
    <col min="1" max="1" width="9.42578125" customWidth="1"/>
    <col min="2" max="2" width="18" customWidth="1"/>
    <col min="3" max="3" width="9.85546875" customWidth="1"/>
    <col min="4" max="4" width="6.140625" customWidth="1"/>
    <col min="5" max="6" width="7.7109375" style="49" customWidth="1"/>
    <col min="7" max="7" width="7.7109375" customWidth="1"/>
  </cols>
  <sheetData>
    <row r="1" spans="1:7" ht="56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x14ac:dyDescent="0.25">
      <c r="A2" s="4" t="s">
        <v>7</v>
      </c>
      <c r="B2" s="5" t="s">
        <v>8</v>
      </c>
      <c r="C2" s="6" t="s">
        <v>9</v>
      </c>
      <c r="D2" s="6" t="s">
        <v>10</v>
      </c>
      <c r="E2" s="7">
        <v>1</v>
      </c>
      <c r="F2" s="7">
        <v>9</v>
      </c>
      <c r="G2" s="7">
        <v>1</v>
      </c>
    </row>
    <row r="3" spans="1:7" x14ac:dyDescent="0.25">
      <c r="A3" s="8"/>
      <c r="B3" s="9" t="s">
        <v>11</v>
      </c>
      <c r="C3" s="10"/>
      <c r="D3" s="10" t="s">
        <v>12</v>
      </c>
      <c r="E3" s="11"/>
      <c r="F3" s="11"/>
      <c r="G3" s="11"/>
    </row>
    <row r="4" spans="1:7" x14ac:dyDescent="0.25">
      <c r="A4" s="12"/>
      <c r="B4" s="13" t="s">
        <v>13</v>
      </c>
      <c r="C4" s="6" t="s">
        <v>14</v>
      </c>
      <c r="D4" s="14" t="s">
        <v>15</v>
      </c>
      <c r="E4" s="15">
        <v>1</v>
      </c>
      <c r="F4" s="16">
        <v>9</v>
      </c>
      <c r="G4" s="15">
        <v>3</v>
      </c>
    </row>
    <row r="5" spans="1:7" x14ac:dyDescent="0.25">
      <c r="A5" s="12"/>
      <c r="B5" s="17" t="s">
        <v>16</v>
      </c>
      <c r="C5" s="18"/>
      <c r="D5" s="19"/>
      <c r="E5" s="20"/>
      <c r="F5" s="21"/>
      <c r="G5" s="20"/>
    </row>
    <row r="6" spans="1:7" x14ac:dyDescent="0.25">
      <c r="A6" s="5" t="s">
        <v>17</v>
      </c>
      <c r="B6" s="22" t="s">
        <v>18</v>
      </c>
      <c r="C6" s="22" t="s">
        <v>9</v>
      </c>
      <c r="D6" s="23" t="s">
        <v>19</v>
      </c>
      <c r="E6" s="24">
        <v>9</v>
      </c>
      <c r="F6" s="24">
        <v>1</v>
      </c>
      <c r="G6" s="24">
        <v>1</v>
      </c>
    </row>
    <row r="7" spans="1:7" x14ac:dyDescent="0.25">
      <c r="A7" s="25" t="s">
        <v>20</v>
      </c>
      <c r="B7" s="6" t="s">
        <v>21</v>
      </c>
      <c r="C7" s="6" t="s">
        <v>22</v>
      </c>
      <c r="D7" s="25" t="s">
        <v>19</v>
      </c>
      <c r="E7" s="26">
        <v>7</v>
      </c>
      <c r="F7" s="26">
        <v>1</v>
      </c>
      <c r="G7" s="26">
        <v>9</v>
      </c>
    </row>
    <row r="8" spans="1:7" x14ac:dyDescent="0.25">
      <c r="A8" s="27"/>
      <c r="B8" s="18" t="s">
        <v>23</v>
      </c>
      <c r="C8" s="18" t="s">
        <v>24</v>
      </c>
      <c r="D8" s="28"/>
      <c r="E8" s="29"/>
      <c r="F8" s="29"/>
      <c r="G8" s="29"/>
    </row>
    <row r="9" spans="1:7" x14ac:dyDescent="0.25">
      <c r="A9" s="27"/>
      <c r="B9" s="6" t="s">
        <v>25</v>
      </c>
      <c r="C9" s="6" t="s">
        <v>14</v>
      </c>
      <c r="D9" s="25" t="s">
        <v>15</v>
      </c>
      <c r="E9" s="26">
        <v>1</v>
      </c>
      <c r="F9" s="26">
        <v>9</v>
      </c>
      <c r="G9" s="26">
        <v>1</v>
      </c>
    </row>
    <row r="10" spans="1:7" x14ac:dyDescent="0.25">
      <c r="A10" s="27"/>
      <c r="B10" s="18" t="s">
        <v>26</v>
      </c>
      <c r="C10" s="10"/>
      <c r="D10" s="28"/>
      <c r="E10" s="29"/>
      <c r="F10" s="29"/>
      <c r="G10" s="29"/>
    </row>
    <row r="11" spans="1:7" x14ac:dyDescent="0.25">
      <c r="A11" s="27"/>
      <c r="B11" s="13" t="s">
        <v>27</v>
      </c>
      <c r="C11" s="6" t="s">
        <v>9</v>
      </c>
      <c r="D11" s="30" t="s">
        <v>10</v>
      </c>
      <c r="E11" s="26">
        <v>1</v>
      </c>
      <c r="F11" s="26">
        <v>9</v>
      </c>
      <c r="G11" s="26">
        <v>9</v>
      </c>
    </row>
    <row r="12" spans="1:7" x14ac:dyDescent="0.25">
      <c r="A12" s="27"/>
      <c r="B12" s="31"/>
      <c r="C12" s="18"/>
      <c r="D12" s="32" t="s">
        <v>12</v>
      </c>
      <c r="E12" s="33"/>
      <c r="F12" s="33"/>
      <c r="G12" s="33"/>
    </row>
    <row r="13" spans="1:7" x14ac:dyDescent="0.25">
      <c r="A13" s="34"/>
      <c r="B13" s="35" t="s">
        <v>28</v>
      </c>
      <c r="C13" s="6" t="s">
        <v>22</v>
      </c>
      <c r="D13" s="36" t="s">
        <v>29</v>
      </c>
      <c r="E13" s="26">
        <v>1</v>
      </c>
      <c r="F13" s="37">
        <v>9</v>
      </c>
      <c r="G13" s="26">
        <v>1</v>
      </c>
    </row>
    <row r="14" spans="1:7" x14ac:dyDescent="0.25">
      <c r="A14" s="34"/>
      <c r="B14" s="38"/>
      <c r="C14" s="10" t="s">
        <v>24</v>
      </c>
      <c r="D14" s="39"/>
      <c r="E14" s="33"/>
      <c r="F14" s="40"/>
      <c r="G14" s="33"/>
    </row>
    <row r="15" spans="1:7" x14ac:dyDescent="0.25">
      <c r="A15" s="5" t="s">
        <v>30</v>
      </c>
      <c r="B15" s="35" t="s">
        <v>31</v>
      </c>
      <c r="C15" s="6" t="s">
        <v>14</v>
      </c>
      <c r="D15" s="41" t="s">
        <v>32</v>
      </c>
      <c r="E15" s="42">
        <v>1</v>
      </c>
      <c r="F15" s="43">
        <v>9</v>
      </c>
      <c r="G15" s="42">
        <v>1</v>
      </c>
    </row>
    <row r="16" spans="1:7" x14ac:dyDescent="0.25">
      <c r="A16" s="44"/>
      <c r="B16" s="45" t="s">
        <v>33</v>
      </c>
      <c r="C16" s="44"/>
      <c r="D16" s="46"/>
      <c r="E16" s="44"/>
      <c r="F16" s="46"/>
      <c r="G16" s="44"/>
    </row>
    <row r="17" spans="5:7" x14ac:dyDescent="0.25">
      <c r="E17" s="47"/>
      <c r="F17" s="47"/>
      <c r="G17" s="48"/>
    </row>
  </sheetData>
  <mergeCells count="7">
    <mergeCell ref="A2:A3"/>
    <mergeCell ref="E2:E3"/>
    <mergeCell ref="F2:F3"/>
    <mergeCell ref="G2:G3"/>
    <mergeCell ref="A7:A14"/>
    <mergeCell ref="D7:D8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workbookViewId="0">
      <selection activeCell="F13" sqref="F13"/>
    </sheetView>
  </sheetViews>
  <sheetFormatPr defaultRowHeight="15" x14ac:dyDescent="0.25"/>
  <cols>
    <col min="2" max="2" width="9.140625" style="52" customWidth="1"/>
    <col min="3" max="3" width="9.140625" style="52"/>
    <col min="4" max="4" width="40.140625" style="52" customWidth="1"/>
    <col min="5" max="5" width="20.5703125" customWidth="1"/>
    <col min="6" max="8" width="19" bestFit="1" customWidth="1"/>
    <col min="9" max="9" width="19.28515625" bestFit="1" customWidth="1"/>
    <col min="10" max="10" width="18" bestFit="1" customWidth="1"/>
    <col min="11" max="11" width="19" bestFit="1" customWidth="1"/>
  </cols>
  <sheetData>
    <row r="2" spans="2:11" x14ac:dyDescent="0.25">
      <c r="E2">
        <v>4.0999999999999996</v>
      </c>
      <c r="F2" s="53">
        <v>3.129</v>
      </c>
      <c r="G2" s="53">
        <f>E2-F2</f>
        <v>0.97099999999999964</v>
      </c>
      <c r="H2" s="53">
        <f>(E2-F2)/5</f>
        <v>0.19419999999999993</v>
      </c>
    </row>
    <row r="4" spans="2:11" ht="15.75" x14ac:dyDescent="0.25">
      <c r="B4" s="54" t="s">
        <v>34</v>
      </c>
      <c r="C4" s="55"/>
      <c r="D4" s="55"/>
      <c r="E4" s="56"/>
    </row>
    <row r="5" spans="2:11" ht="15.75" x14ac:dyDescent="0.25">
      <c r="B5" s="57" t="s">
        <v>35</v>
      </c>
      <c r="C5" s="57" t="s">
        <v>36</v>
      </c>
      <c r="D5" s="57" t="s">
        <v>37</v>
      </c>
      <c r="E5" s="56"/>
    </row>
    <row r="6" spans="2:11" ht="15.75" x14ac:dyDescent="0.25">
      <c r="B6" s="57">
        <v>1</v>
      </c>
      <c r="C6" s="57">
        <v>1</v>
      </c>
      <c r="D6" s="57" t="s">
        <v>38</v>
      </c>
      <c r="E6" s="56"/>
    </row>
    <row r="7" spans="2:11" ht="15.75" x14ac:dyDescent="0.25">
      <c r="B7" s="57">
        <v>2</v>
      </c>
      <c r="C7" s="57">
        <v>3</v>
      </c>
      <c r="D7" s="57" t="s">
        <v>39</v>
      </c>
      <c r="E7" s="56"/>
    </row>
    <row r="8" spans="2:11" ht="15.75" x14ac:dyDescent="0.25">
      <c r="B8" s="57">
        <v>3</v>
      </c>
      <c r="C8" s="57">
        <v>5</v>
      </c>
      <c r="D8" s="57" t="s">
        <v>40</v>
      </c>
      <c r="E8" s="56"/>
    </row>
    <row r="9" spans="2:11" ht="15.75" x14ac:dyDescent="0.25">
      <c r="B9" s="57">
        <v>4</v>
      </c>
      <c r="C9" s="57">
        <v>7</v>
      </c>
      <c r="D9" s="57" t="s">
        <v>41</v>
      </c>
      <c r="E9" s="56"/>
    </row>
    <row r="10" spans="2:11" ht="15.75" x14ac:dyDescent="0.25">
      <c r="B10" s="57">
        <v>5</v>
      </c>
      <c r="C10" s="57">
        <v>9</v>
      </c>
      <c r="D10" s="57" t="s">
        <v>42</v>
      </c>
      <c r="E10" s="56"/>
    </row>
    <row r="11" spans="2:11" ht="15.75" x14ac:dyDescent="0.25">
      <c r="B11" s="55"/>
      <c r="C11" s="55"/>
      <c r="D11" s="55"/>
      <c r="E11" s="58">
        <v>4.2</v>
      </c>
      <c r="F11" s="59">
        <v>3.14</v>
      </c>
      <c r="G11" s="60">
        <f>E11-F11</f>
        <v>1.06</v>
      </c>
      <c r="H11" s="59">
        <f>(E11-F11)/5</f>
        <v>0.21200000000000002</v>
      </c>
    </row>
    <row r="12" spans="2:11" ht="15.75" x14ac:dyDescent="0.25">
      <c r="B12" s="61" t="s">
        <v>43</v>
      </c>
      <c r="C12" s="55"/>
      <c r="D12" s="55"/>
      <c r="E12" s="58"/>
      <c r="F12" s="59"/>
      <c r="G12" s="60"/>
      <c r="H12" s="59"/>
      <c r="I12" s="60"/>
    </row>
    <row r="13" spans="2:11" ht="15.75" x14ac:dyDescent="0.25">
      <c r="B13" s="57" t="s">
        <v>35</v>
      </c>
      <c r="C13" s="57" t="s">
        <v>36</v>
      </c>
      <c r="D13" s="57" t="s">
        <v>44</v>
      </c>
      <c r="E13" s="62"/>
      <c r="F13" s="62"/>
      <c r="G13" s="63"/>
      <c r="H13" s="63"/>
      <c r="I13" s="63"/>
      <c r="J13" s="63"/>
      <c r="K13" s="59"/>
    </row>
    <row r="14" spans="2:11" ht="15.75" x14ac:dyDescent="0.25">
      <c r="B14" s="57">
        <v>1</v>
      </c>
      <c r="C14" s="57">
        <v>1</v>
      </c>
      <c r="D14" s="64" t="s">
        <v>45</v>
      </c>
      <c r="I14" s="53"/>
    </row>
    <row r="15" spans="2:11" ht="15.75" x14ac:dyDescent="0.25">
      <c r="B15" s="57">
        <v>2</v>
      </c>
      <c r="C15" s="57">
        <v>3</v>
      </c>
      <c r="D15" s="65" t="s">
        <v>46</v>
      </c>
      <c r="H15" s="53"/>
      <c r="I15" s="60"/>
    </row>
    <row r="16" spans="2:11" ht="15.75" x14ac:dyDescent="0.25">
      <c r="B16" s="57">
        <v>3</v>
      </c>
      <c r="C16" s="57">
        <v>5</v>
      </c>
      <c r="D16" s="65" t="s">
        <v>47</v>
      </c>
      <c r="H16" s="53"/>
      <c r="I16" s="60"/>
    </row>
    <row r="17" spans="2:10" ht="15.75" x14ac:dyDescent="0.25">
      <c r="B17" s="57">
        <v>4</v>
      </c>
      <c r="C17" s="57">
        <v>7</v>
      </c>
      <c r="D17" s="66" t="s">
        <v>48</v>
      </c>
    </row>
    <row r="18" spans="2:10" ht="15.75" x14ac:dyDescent="0.25">
      <c r="B18" s="57">
        <v>5</v>
      </c>
      <c r="C18" s="57">
        <v>9</v>
      </c>
      <c r="D18" s="65" t="s">
        <v>49</v>
      </c>
    </row>
    <row r="19" spans="2:10" x14ac:dyDescent="0.25">
      <c r="E19" s="67">
        <v>254040391827.80688</v>
      </c>
      <c r="F19">
        <v>180522825643.85477</v>
      </c>
      <c r="G19">
        <f>E19-F19</f>
        <v>73517566183.952118</v>
      </c>
      <c r="H19">
        <f>(E19-F19)/5</f>
        <v>14703513236.790424</v>
      </c>
    </row>
    <row r="20" spans="2:10" ht="15.75" x14ac:dyDescent="0.25">
      <c r="B20" s="68" t="s">
        <v>50</v>
      </c>
    </row>
    <row r="21" spans="2:10" ht="15.75" x14ac:dyDescent="0.25">
      <c r="B21" s="57" t="s">
        <v>35</v>
      </c>
      <c r="C21" s="57" t="s">
        <v>36</v>
      </c>
      <c r="D21" s="57" t="s">
        <v>51</v>
      </c>
    </row>
    <row r="22" spans="2:10" ht="15.75" x14ac:dyDescent="0.25">
      <c r="B22" s="57">
        <v>1</v>
      </c>
      <c r="C22" s="57">
        <v>1</v>
      </c>
      <c r="D22" s="69" t="s">
        <v>52</v>
      </c>
    </row>
    <row r="23" spans="2:10" ht="15.75" x14ac:dyDescent="0.25">
      <c r="B23" s="57">
        <v>2</v>
      </c>
      <c r="C23" s="57">
        <v>3</v>
      </c>
      <c r="D23" s="57" t="s">
        <v>53</v>
      </c>
      <c r="E23" s="53"/>
    </row>
    <row r="24" spans="2:10" ht="15.75" x14ac:dyDescent="0.25">
      <c r="B24" s="57">
        <v>3</v>
      </c>
      <c r="C24" s="57">
        <v>5</v>
      </c>
      <c r="D24" s="57" t="s">
        <v>54</v>
      </c>
      <c r="F24" s="53"/>
      <c r="G24" s="53"/>
      <c r="H24" s="53"/>
    </row>
    <row r="25" spans="2:10" ht="15.75" x14ac:dyDescent="0.25">
      <c r="B25" s="57">
        <v>4</v>
      </c>
      <c r="C25" s="57">
        <v>7</v>
      </c>
      <c r="D25" s="70" t="s">
        <v>55</v>
      </c>
    </row>
    <row r="26" spans="2:10" ht="15.75" x14ac:dyDescent="0.25">
      <c r="B26" s="57">
        <v>5</v>
      </c>
      <c r="C26" s="57">
        <v>9</v>
      </c>
      <c r="D26" s="57" t="s">
        <v>56</v>
      </c>
    </row>
    <row r="30" spans="2:10" x14ac:dyDescent="0.25">
      <c r="B30" s="71" t="s">
        <v>57</v>
      </c>
      <c r="E30">
        <v>4210.7</v>
      </c>
      <c r="F30">
        <v>73.75</v>
      </c>
      <c r="H30">
        <f>(E30-F30)/5</f>
        <v>827.39</v>
      </c>
    </row>
    <row r="31" spans="2:10" ht="15.75" x14ac:dyDescent="0.25">
      <c r="B31" s="57" t="s">
        <v>35</v>
      </c>
      <c r="C31" s="57" t="s">
        <v>36</v>
      </c>
      <c r="D31" s="57" t="s">
        <v>58</v>
      </c>
      <c r="E31" s="59"/>
      <c r="F31" s="59"/>
      <c r="G31" s="59"/>
      <c r="H31" s="59"/>
      <c r="I31" s="59"/>
      <c r="J31" s="59"/>
    </row>
    <row r="32" spans="2:10" ht="15.75" x14ac:dyDescent="0.25">
      <c r="B32" s="57">
        <v>1</v>
      </c>
      <c r="C32" s="57">
        <v>1</v>
      </c>
      <c r="D32" s="69" t="s">
        <v>59</v>
      </c>
    </row>
    <row r="33" spans="2:10" ht="15.75" x14ac:dyDescent="0.25">
      <c r="B33" s="57">
        <v>2</v>
      </c>
      <c r="C33" s="57">
        <v>3</v>
      </c>
      <c r="D33" s="57" t="s">
        <v>60</v>
      </c>
    </row>
    <row r="34" spans="2:10" ht="15.75" x14ac:dyDescent="0.25">
      <c r="B34" s="57">
        <v>3</v>
      </c>
      <c r="C34" s="57">
        <v>5</v>
      </c>
      <c r="D34" s="57" t="s">
        <v>61</v>
      </c>
    </row>
    <row r="35" spans="2:10" ht="15.75" x14ac:dyDescent="0.25">
      <c r="B35" s="57">
        <v>4</v>
      </c>
      <c r="C35" s="57">
        <v>7</v>
      </c>
      <c r="D35" s="70" t="s">
        <v>62</v>
      </c>
    </row>
    <row r="36" spans="2:10" ht="15.75" x14ac:dyDescent="0.25">
      <c r="B36" s="57">
        <v>5</v>
      </c>
      <c r="C36" s="57">
        <v>9</v>
      </c>
      <c r="D36" s="57" t="s">
        <v>63</v>
      </c>
    </row>
    <row r="38" spans="2:10" x14ac:dyDescent="0.25">
      <c r="B38" s="71" t="s">
        <v>64</v>
      </c>
      <c r="E38">
        <v>3.97</v>
      </c>
      <c r="F38">
        <v>3.24</v>
      </c>
      <c r="H38">
        <f>(E38-F38)/5</f>
        <v>0.14599999999999999</v>
      </c>
    </row>
    <row r="39" spans="2:10" ht="15.75" x14ac:dyDescent="0.25">
      <c r="B39" s="57" t="s">
        <v>35</v>
      </c>
      <c r="C39" s="57" t="s">
        <v>36</v>
      </c>
      <c r="D39" s="57" t="s">
        <v>44</v>
      </c>
      <c r="E39" s="59"/>
      <c r="F39" s="59"/>
      <c r="G39" s="59"/>
      <c r="H39" s="59"/>
      <c r="I39" s="59"/>
      <c r="J39" s="59"/>
    </row>
    <row r="40" spans="2:10" ht="15.75" x14ac:dyDescent="0.25">
      <c r="B40" s="57">
        <v>1</v>
      </c>
      <c r="C40" s="57">
        <v>1</v>
      </c>
      <c r="D40" s="64" t="s">
        <v>65</v>
      </c>
    </row>
    <row r="41" spans="2:10" ht="15.75" x14ac:dyDescent="0.25">
      <c r="B41" s="57">
        <v>2</v>
      </c>
      <c r="C41" s="57">
        <v>3</v>
      </c>
      <c r="D41" s="65" t="s">
        <v>66</v>
      </c>
    </row>
    <row r="42" spans="2:10" ht="15.75" x14ac:dyDescent="0.25">
      <c r="B42" s="57">
        <v>3</v>
      </c>
      <c r="C42" s="57">
        <v>5</v>
      </c>
      <c r="D42" s="72" t="s">
        <v>67</v>
      </c>
    </row>
    <row r="43" spans="2:10" ht="15.75" x14ac:dyDescent="0.25">
      <c r="B43" s="57">
        <v>4</v>
      </c>
      <c r="C43" s="57">
        <v>7</v>
      </c>
      <c r="D43" s="66" t="s">
        <v>68</v>
      </c>
    </row>
    <row r="44" spans="2:10" ht="15.75" x14ac:dyDescent="0.25">
      <c r="B44" s="57">
        <v>5</v>
      </c>
      <c r="C44" s="57">
        <v>9</v>
      </c>
      <c r="D44" s="65" t="s">
        <v>69</v>
      </c>
    </row>
    <row r="46" spans="2:10" x14ac:dyDescent="0.25">
      <c r="B46" s="71" t="s">
        <v>70</v>
      </c>
      <c r="E46">
        <v>3.9</v>
      </c>
      <c r="F46">
        <v>2.9</v>
      </c>
      <c r="H46">
        <f>(E46-F46)/5</f>
        <v>0.2</v>
      </c>
    </row>
    <row r="47" spans="2:10" ht="15.75" x14ac:dyDescent="0.25">
      <c r="B47" s="57" t="s">
        <v>35</v>
      </c>
      <c r="C47" s="57" t="s">
        <v>36</v>
      </c>
      <c r="D47" s="57" t="s">
        <v>37</v>
      </c>
      <c r="E47" s="59"/>
      <c r="F47" s="59"/>
      <c r="G47" s="59"/>
      <c r="H47" s="59"/>
      <c r="I47" s="59"/>
      <c r="J47" s="59"/>
    </row>
    <row r="48" spans="2:10" ht="15.75" x14ac:dyDescent="0.25">
      <c r="B48" s="57">
        <v>1</v>
      </c>
      <c r="C48" s="57">
        <v>1</v>
      </c>
      <c r="D48" s="69" t="s">
        <v>71</v>
      </c>
    </row>
    <row r="49" spans="2:10" ht="15.75" x14ac:dyDescent="0.25">
      <c r="B49" s="57">
        <v>2</v>
      </c>
      <c r="C49" s="57">
        <v>3</v>
      </c>
      <c r="D49" s="57" t="s">
        <v>72</v>
      </c>
    </row>
    <row r="50" spans="2:10" ht="15.75" x14ac:dyDescent="0.25">
      <c r="B50" s="57">
        <v>3</v>
      </c>
      <c r="C50" s="57">
        <v>5</v>
      </c>
      <c r="D50" s="73" t="s">
        <v>73</v>
      </c>
    </row>
    <row r="51" spans="2:10" ht="15.75" x14ac:dyDescent="0.25">
      <c r="B51" s="57">
        <v>4</v>
      </c>
      <c r="C51" s="57">
        <v>7</v>
      </c>
      <c r="D51" s="70" t="s">
        <v>74</v>
      </c>
    </row>
    <row r="52" spans="2:10" ht="15.75" x14ac:dyDescent="0.25">
      <c r="B52" s="57">
        <v>5</v>
      </c>
      <c r="C52" s="57">
        <v>9</v>
      </c>
      <c r="D52" s="57" t="s">
        <v>75</v>
      </c>
    </row>
    <row r="53" spans="2:10" x14ac:dyDescent="0.25">
      <c r="E53">
        <v>490250</v>
      </c>
      <c r="F53">
        <v>32750</v>
      </c>
      <c r="H53">
        <f>(E53-F53)/5</f>
        <v>91500</v>
      </c>
    </row>
    <row r="54" spans="2:10" x14ac:dyDescent="0.25">
      <c r="B54" s="71" t="s">
        <v>76</v>
      </c>
      <c r="E54" s="59"/>
      <c r="F54" s="59"/>
      <c r="G54" s="59"/>
      <c r="H54" s="59"/>
      <c r="I54" s="59"/>
      <c r="J54" s="59"/>
    </row>
    <row r="55" spans="2:10" ht="15.75" x14ac:dyDescent="0.25">
      <c r="B55" s="57" t="s">
        <v>35</v>
      </c>
      <c r="C55" s="57" t="s">
        <v>36</v>
      </c>
      <c r="D55" s="57" t="s">
        <v>77</v>
      </c>
    </row>
    <row r="56" spans="2:10" ht="15.75" x14ac:dyDescent="0.25">
      <c r="B56" s="57">
        <v>1</v>
      </c>
      <c r="C56" s="57">
        <v>1</v>
      </c>
      <c r="D56" s="69" t="s">
        <v>78</v>
      </c>
    </row>
    <row r="57" spans="2:10" ht="15.75" x14ac:dyDescent="0.25">
      <c r="B57" s="57">
        <v>2</v>
      </c>
      <c r="C57" s="57">
        <v>3</v>
      </c>
      <c r="D57" s="57" t="s">
        <v>79</v>
      </c>
    </row>
    <row r="58" spans="2:10" ht="15.75" x14ac:dyDescent="0.25">
      <c r="B58" s="57">
        <v>3</v>
      </c>
      <c r="C58" s="57">
        <v>5</v>
      </c>
      <c r="D58" s="73" t="s">
        <v>80</v>
      </c>
    </row>
    <row r="59" spans="2:10" ht="15.75" x14ac:dyDescent="0.25">
      <c r="B59" s="57">
        <v>4</v>
      </c>
      <c r="C59" s="57">
        <v>7</v>
      </c>
      <c r="D59" s="70" t="s">
        <v>81</v>
      </c>
    </row>
    <row r="60" spans="2:10" ht="15.75" x14ac:dyDescent="0.25">
      <c r="B60" s="57">
        <v>5</v>
      </c>
      <c r="C60" s="57">
        <v>9</v>
      </c>
      <c r="D60" s="57" t="s">
        <v>82</v>
      </c>
    </row>
    <row r="62" spans="2:10" x14ac:dyDescent="0.25">
      <c r="B62" s="71" t="s">
        <v>83</v>
      </c>
      <c r="E62">
        <v>4.16</v>
      </c>
      <c r="F62">
        <v>3.84</v>
      </c>
      <c r="G62">
        <f>E62-F62</f>
        <v>0.32000000000000028</v>
      </c>
      <c r="H62">
        <f>(E62-F62)/5</f>
        <v>6.4000000000000057E-2</v>
      </c>
    </row>
    <row r="63" spans="2:10" ht="15.75" x14ac:dyDescent="0.25">
      <c r="B63" s="57" t="s">
        <v>35</v>
      </c>
      <c r="C63" s="57" t="s">
        <v>36</v>
      </c>
      <c r="D63" s="57" t="s">
        <v>44</v>
      </c>
      <c r="E63" s="59"/>
      <c r="F63" s="59"/>
      <c r="G63" s="59"/>
      <c r="H63" s="59"/>
      <c r="I63" s="59"/>
      <c r="J63" s="59"/>
    </row>
    <row r="64" spans="2:10" ht="15.75" x14ac:dyDescent="0.25">
      <c r="B64" s="57">
        <v>1</v>
      </c>
      <c r="C64" s="57">
        <v>1</v>
      </c>
      <c r="D64" s="64" t="s">
        <v>84</v>
      </c>
    </row>
    <row r="65" spans="2:4" ht="15.75" x14ac:dyDescent="0.25">
      <c r="B65" s="57">
        <v>2</v>
      </c>
      <c r="C65" s="57">
        <v>3</v>
      </c>
      <c r="D65" s="65" t="s">
        <v>85</v>
      </c>
    </row>
    <row r="66" spans="2:4" ht="15.75" x14ac:dyDescent="0.25">
      <c r="B66" s="57">
        <v>3</v>
      </c>
      <c r="C66" s="57">
        <v>5</v>
      </c>
      <c r="D66" s="72" t="s">
        <v>86</v>
      </c>
    </row>
    <row r="67" spans="2:4" ht="15.75" x14ac:dyDescent="0.25">
      <c r="B67" s="57">
        <v>4</v>
      </c>
      <c r="C67" s="57">
        <v>7</v>
      </c>
      <c r="D67" s="66" t="s">
        <v>87</v>
      </c>
    </row>
    <row r="68" spans="2:4" ht="15.75" x14ac:dyDescent="0.25">
      <c r="B68" s="57">
        <v>5</v>
      </c>
      <c r="C68" s="57">
        <v>9</v>
      </c>
      <c r="D68" s="65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sqref="A1:XFD1048576"/>
    </sheetView>
  </sheetViews>
  <sheetFormatPr defaultRowHeight="15" x14ac:dyDescent="0.25"/>
  <cols>
    <col min="1" max="1" width="9.42578125" customWidth="1"/>
    <col min="2" max="2" width="18" customWidth="1"/>
    <col min="3" max="3" width="9.85546875" customWidth="1"/>
    <col min="4" max="4" width="6.140625" customWidth="1"/>
    <col min="5" max="6" width="14.85546875" style="49" customWidth="1"/>
    <col min="7" max="7" width="16.140625" customWidth="1"/>
  </cols>
  <sheetData>
    <row r="1" spans="1:12" ht="56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12" x14ac:dyDescent="0.25">
      <c r="A2" s="4" t="s">
        <v>7</v>
      </c>
      <c r="B2" s="5" t="s">
        <v>8</v>
      </c>
      <c r="C2" s="6" t="s">
        <v>9</v>
      </c>
      <c r="D2" s="6" t="s">
        <v>10</v>
      </c>
      <c r="E2" s="74">
        <v>3.13</v>
      </c>
      <c r="F2" s="74">
        <v>4.0999999999999996</v>
      </c>
      <c r="G2" s="74">
        <v>3.3</v>
      </c>
    </row>
    <row r="3" spans="1:12" x14ac:dyDescent="0.25">
      <c r="A3" s="8"/>
      <c r="B3" s="9" t="s">
        <v>11</v>
      </c>
      <c r="C3" s="10"/>
      <c r="D3" s="10" t="s">
        <v>12</v>
      </c>
      <c r="E3" s="75"/>
      <c r="F3" s="75"/>
      <c r="G3" s="75"/>
    </row>
    <row r="4" spans="1:12" x14ac:dyDescent="0.25">
      <c r="A4" s="12"/>
      <c r="B4" s="13" t="s">
        <v>13</v>
      </c>
      <c r="C4" s="6" t="s">
        <v>14</v>
      </c>
      <c r="D4" s="14" t="s">
        <v>15</v>
      </c>
      <c r="E4" s="76">
        <v>3.14</v>
      </c>
      <c r="F4" s="77">
        <v>4.2</v>
      </c>
      <c r="G4" s="76">
        <v>3.35</v>
      </c>
    </row>
    <row r="5" spans="1:12" x14ac:dyDescent="0.25">
      <c r="A5" s="12"/>
      <c r="B5" s="17" t="s">
        <v>16</v>
      </c>
      <c r="C5" s="18"/>
      <c r="D5" s="19"/>
      <c r="E5" s="78"/>
      <c r="F5" s="79"/>
      <c r="G5" s="78"/>
      <c r="L5" t="s">
        <v>89</v>
      </c>
    </row>
    <row r="6" spans="1:12" x14ac:dyDescent="0.25">
      <c r="A6" s="5" t="s">
        <v>17</v>
      </c>
      <c r="B6" s="22" t="s">
        <v>18</v>
      </c>
      <c r="C6" s="22" t="s">
        <v>9</v>
      </c>
      <c r="D6" s="23" t="s">
        <v>19</v>
      </c>
      <c r="E6" s="80">
        <v>254040391827.80688</v>
      </c>
      <c r="F6" s="80">
        <v>180522825643.85477</v>
      </c>
      <c r="G6" s="80">
        <v>192091479871.52835</v>
      </c>
    </row>
    <row r="7" spans="1:12" x14ac:dyDescent="0.25">
      <c r="A7" s="25" t="s">
        <v>20</v>
      </c>
      <c r="B7" s="6" t="s">
        <v>21</v>
      </c>
      <c r="C7" s="6" t="s">
        <v>22</v>
      </c>
      <c r="D7" s="25" t="s">
        <v>19</v>
      </c>
      <c r="E7" s="81"/>
      <c r="F7" s="81"/>
      <c r="G7" s="81"/>
    </row>
    <row r="8" spans="1:12" x14ac:dyDescent="0.25">
      <c r="A8" s="27"/>
      <c r="B8" s="18"/>
      <c r="C8" s="18" t="s">
        <v>24</v>
      </c>
      <c r="D8" s="28"/>
      <c r="E8" s="82">
        <v>1791.25</v>
      </c>
      <c r="F8" s="82">
        <v>4210.7</v>
      </c>
      <c r="G8" s="82">
        <v>73.75</v>
      </c>
    </row>
    <row r="9" spans="1:12" x14ac:dyDescent="0.25">
      <c r="A9" s="27"/>
      <c r="B9" s="6" t="s">
        <v>25</v>
      </c>
      <c r="C9" s="6" t="s">
        <v>14</v>
      </c>
      <c r="D9" s="25" t="s">
        <v>15</v>
      </c>
      <c r="E9" s="81"/>
      <c r="F9" s="81"/>
      <c r="G9" s="81"/>
    </row>
    <row r="10" spans="1:12" x14ac:dyDescent="0.25">
      <c r="A10" s="27"/>
      <c r="B10" s="18" t="s">
        <v>26</v>
      </c>
      <c r="C10" s="10"/>
      <c r="D10" s="28"/>
      <c r="E10" s="82">
        <v>3.24</v>
      </c>
      <c r="F10" s="82">
        <v>3.97</v>
      </c>
      <c r="G10" s="82">
        <v>3.35</v>
      </c>
    </row>
    <row r="11" spans="1:12" x14ac:dyDescent="0.25">
      <c r="A11" s="27"/>
      <c r="B11" s="13" t="s">
        <v>27</v>
      </c>
      <c r="C11" s="6" t="s">
        <v>9</v>
      </c>
      <c r="D11" s="30" t="s">
        <v>10</v>
      </c>
      <c r="E11" s="81"/>
      <c r="F11" s="81"/>
      <c r="G11" s="81"/>
    </row>
    <row r="12" spans="1:12" x14ac:dyDescent="0.25">
      <c r="A12" s="27"/>
      <c r="B12" s="31"/>
      <c r="C12" s="18"/>
      <c r="D12" s="32" t="s">
        <v>12</v>
      </c>
      <c r="E12" s="83">
        <v>2.9950000000000006</v>
      </c>
      <c r="F12" s="83">
        <v>3.9019999999999997</v>
      </c>
      <c r="G12" s="83">
        <v>3.2314999999999996</v>
      </c>
    </row>
    <row r="13" spans="1:12" x14ac:dyDescent="0.25">
      <c r="A13" s="34"/>
      <c r="B13" s="35" t="s">
        <v>28</v>
      </c>
      <c r="C13" s="6" t="s">
        <v>22</v>
      </c>
      <c r="D13" s="36" t="s">
        <v>29</v>
      </c>
      <c r="E13" s="81"/>
      <c r="F13" s="84"/>
      <c r="G13" s="81"/>
    </row>
    <row r="14" spans="1:12" x14ac:dyDescent="0.25">
      <c r="A14" s="34"/>
      <c r="B14" s="38"/>
      <c r="C14" s="10" t="s">
        <v>24</v>
      </c>
      <c r="D14" s="39"/>
      <c r="E14" s="83">
        <v>32750</v>
      </c>
      <c r="F14" s="85">
        <v>490250</v>
      </c>
      <c r="G14" s="83">
        <v>61260</v>
      </c>
    </row>
    <row r="15" spans="1:12" x14ac:dyDescent="0.25">
      <c r="A15" s="5" t="s">
        <v>30</v>
      </c>
      <c r="B15" s="35" t="s">
        <v>31</v>
      </c>
      <c r="C15" s="6" t="s">
        <v>14</v>
      </c>
      <c r="D15" s="41" t="s">
        <v>32</v>
      </c>
      <c r="E15" s="86"/>
      <c r="F15" s="87"/>
      <c r="G15" s="86"/>
    </row>
    <row r="16" spans="1:12" x14ac:dyDescent="0.25">
      <c r="A16" s="44"/>
      <c r="B16" s="45" t="s">
        <v>33</v>
      </c>
      <c r="C16" s="44"/>
      <c r="D16" s="46"/>
      <c r="E16" s="88">
        <v>3.88</v>
      </c>
      <c r="F16" s="89">
        <v>4.16</v>
      </c>
      <c r="G16" s="88">
        <v>3.84</v>
      </c>
    </row>
    <row r="17" spans="5:7" x14ac:dyDescent="0.25">
      <c r="E17" s="47"/>
      <c r="F17" s="47"/>
      <c r="G17" s="48"/>
    </row>
  </sheetData>
  <mergeCells count="7">
    <mergeCell ref="A2:A3"/>
    <mergeCell ref="E2:E3"/>
    <mergeCell ref="F2:F3"/>
    <mergeCell ref="G2:G3"/>
    <mergeCell ref="A7:A14"/>
    <mergeCell ref="D7:D8"/>
    <mergeCell ref="D9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sqref="A1:XFD1048576"/>
    </sheetView>
  </sheetViews>
  <sheetFormatPr defaultRowHeight="15" x14ac:dyDescent="0.25"/>
  <cols>
    <col min="1" max="1" width="9.42578125" customWidth="1"/>
    <col min="2" max="2" width="16.7109375" customWidth="1"/>
    <col min="3" max="3" width="6.140625" style="52" customWidth="1"/>
    <col min="4" max="4" width="6.140625" customWidth="1"/>
    <col min="5" max="5" width="6.140625" style="200" customWidth="1"/>
    <col min="6" max="6" width="7.42578125" style="201" customWidth="1"/>
    <col min="7" max="7" width="8.7109375" style="49" customWidth="1"/>
    <col min="8" max="8" width="8.7109375" style="205" customWidth="1"/>
    <col min="9" max="9" width="8.7109375" style="49" customWidth="1"/>
    <col min="10" max="12" width="11.140625" style="49" customWidth="1"/>
    <col min="13" max="13" width="8.7109375" style="49" customWidth="1"/>
    <col min="14" max="14" width="8.7109375" style="205" customWidth="1"/>
    <col min="15" max="18" width="8.7109375" style="49" customWidth="1"/>
    <col min="19" max="19" width="8.7109375" customWidth="1"/>
    <col min="20" max="20" width="6.140625" style="200" customWidth="1"/>
    <col min="21" max="21" width="7.42578125" style="201" customWidth="1"/>
    <col min="22" max="22" width="8.7109375" style="202" customWidth="1"/>
    <col min="23" max="26" width="8.7109375" customWidth="1"/>
  </cols>
  <sheetData>
    <row r="1" spans="1:26" ht="52.5" x14ac:dyDescent="0.25">
      <c r="A1" s="90" t="s">
        <v>0</v>
      </c>
      <c r="B1" s="91" t="s">
        <v>1</v>
      </c>
      <c r="C1" s="91" t="s">
        <v>3</v>
      </c>
      <c r="D1" s="91" t="s">
        <v>90</v>
      </c>
      <c r="E1" s="92" t="s">
        <v>91</v>
      </c>
      <c r="F1" s="93" t="s">
        <v>92</v>
      </c>
      <c r="G1" s="91" t="s">
        <v>4</v>
      </c>
      <c r="H1" s="94" t="s">
        <v>93</v>
      </c>
      <c r="I1" s="91"/>
      <c r="J1" s="91" t="s">
        <v>94</v>
      </c>
      <c r="K1" s="91"/>
      <c r="L1" s="91" t="s">
        <v>95</v>
      </c>
      <c r="M1" s="95" t="s">
        <v>5</v>
      </c>
      <c r="N1" s="94" t="s">
        <v>93</v>
      </c>
      <c r="O1" s="91"/>
      <c r="P1" s="91" t="s">
        <v>94</v>
      </c>
      <c r="Q1" s="91"/>
      <c r="R1" s="91" t="s">
        <v>95</v>
      </c>
      <c r="S1" s="95" t="s">
        <v>6</v>
      </c>
      <c r="T1" s="92" t="s">
        <v>91</v>
      </c>
      <c r="U1" s="93" t="s">
        <v>92</v>
      </c>
      <c r="V1" s="94" t="s">
        <v>93</v>
      </c>
      <c r="W1" s="91"/>
      <c r="X1" s="91" t="s">
        <v>94</v>
      </c>
      <c r="Y1" s="91"/>
      <c r="Z1" s="91" t="s">
        <v>95</v>
      </c>
    </row>
    <row r="2" spans="1:26" x14ac:dyDescent="0.25">
      <c r="A2" s="96"/>
      <c r="B2" s="97" t="s">
        <v>96</v>
      </c>
      <c r="C2" s="98" t="s">
        <v>97</v>
      </c>
      <c r="D2" s="99"/>
      <c r="E2" s="100"/>
      <c r="F2" s="101"/>
      <c r="G2" s="102"/>
      <c r="H2" s="103"/>
      <c r="I2" s="104"/>
      <c r="J2" s="105"/>
      <c r="K2" s="105"/>
      <c r="L2" s="105"/>
      <c r="M2" s="106"/>
      <c r="N2" s="107"/>
      <c r="O2" s="104"/>
      <c r="P2" s="104"/>
      <c r="Q2" s="104"/>
      <c r="R2" s="104"/>
      <c r="S2" s="102"/>
      <c r="T2" s="100"/>
      <c r="U2" s="101"/>
      <c r="V2" s="103"/>
      <c r="W2" s="105"/>
      <c r="X2" s="105"/>
      <c r="Y2" s="105"/>
      <c r="Z2" s="105"/>
    </row>
    <row r="3" spans="1:26" x14ac:dyDescent="0.25">
      <c r="A3" s="51" t="s">
        <v>7</v>
      </c>
      <c r="B3" s="108" t="s">
        <v>11</v>
      </c>
      <c r="C3" s="109"/>
      <c r="D3" s="110">
        <v>0.19500000000000001</v>
      </c>
      <c r="E3" s="111">
        <v>0.19500000000000001</v>
      </c>
      <c r="F3" s="112">
        <v>0.14699999999999999</v>
      </c>
      <c r="G3" s="113">
        <v>0.76300000000000001</v>
      </c>
      <c r="H3" s="114">
        <f>D3*G3</f>
        <v>0.148785</v>
      </c>
      <c r="I3" s="115">
        <f>E3-H3</f>
        <v>4.6215000000000006E-2</v>
      </c>
      <c r="J3" s="116">
        <f>I3*0.04622</f>
        <v>2.1360573000000003E-3</v>
      </c>
      <c r="K3" s="117">
        <f>H3-F3</f>
        <v>1.7850000000000088E-3</v>
      </c>
      <c r="L3" s="116">
        <f>K3*0.001785</f>
        <v>3.1862250000000154E-6</v>
      </c>
      <c r="M3" s="118">
        <v>1</v>
      </c>
      <c r="N3" s="114">
        <f>M3*D3</f>
        <v>0.19500000000000001</v>
      </c>
      <c r="O3" s="115">
        <f>E3-N3</f>
        <v>0</v>
      </c>
      <c r="P3" s="119">
        <f>O3*0</f>
        <v>0</v>
      </c>
      <c r="Q3" s="119">
        <f>N3-F3</f>
        <v>4.8000000000000015E-2</v>
      </c>
      <c r="R3" s="119">
        <f>Q3*0.048</f>
        <v>2.3040000000000009E-3</v>
      </c>
      <c r="S3" s="113">
        <v>0.75600000000000001</v>
      </c>
      <c r="T3" s="111">
        <v>0.19500000000000001</v>
      </c>
      <c r="U3" s="112">
        <v>0.14699999999999999</v>
      </c>
      <c r="V3" s="114">
        <f>S3*D3</f>
        <v>0.14742</v>
      </c>
      <c r="W3" s="117">
        <f>T3-V3</f>
        <v>4.7580000000000011E-2</v>
      </c>
      <c r="X3" s="116">
        <f>W3*0.04758</f>
        <v>2.2638564000000004E-3</v>
      </c>
      <c r="Y3" s="116">
        <v>0</v>
      </c>
      <c r="Z3" s="116">
        <f>Y3*0</f>
        <v>0</v>
      </c>
    </row>
    <row r="4" spans="1:26" x14ac:dyDescent="0.25">
      <c r="A4" s="51">
        <v>0.36499999999999999</v>
      </c>
      <c r="B4" s="120" t="s">
        <v>13</v>
      </c>
      <c r="C4" s="121" t="s">
        <v>32</v>
      </c>
      <c r="D4" s="122">
        <v>0.17</v>
      </c>
      <c r="E4" s="123">
        <v>0.17</v>
      </c>
      <c r="F4" s="124">
        <v>0.127</v>
      </c>
      <c r="G4" s="125">
        <v>0.747</v>
      </c>
      <c r="H4" s="126">
        <f>G4*D4</f>
        <v>0.12699000000000002</v>
      </c>
      <c r="I4" s="104">
        <f>E4-H4</f>
        <v>4.3009999999999993E-2</v>
      </c>
      <c r="J4" s="127">
        <f>I4*0.04301</f>
        <v>1.8498600999999996E-3</v>
      </c>
      <c r="K4" s="105">
        <v>0</v>
      </c>
      <c r="L4" s="128">
        <v>0</v>
      </c>
      <c r="M4" s="129">
        <v>1</v>
      </c>
      <c r="N4" s="130">
        <f>M4*D4</f>
        <v>0.17</v>
      </c>
      <c r="O4" s="104">
        <f>E4-N4</f>
        <v>0</v>
      </c>
      <c r="P4" s="131">
        <f>O4*0</f>
        <v>0</v>
      </c>
      <c r="Q4" s="115">
        <f>N4-F4</f>
        <v>4.300000000000001E-2</v>
      </c>
      <c r="R4" s="115">
        <f>Q4*0.043</f>
        <v>1.8490000000000004E-3</v>
      </c>
      <c r="S4" s="125">
        <v>0.79700000000000004</v>
      </c>
      <c r="T4" s="123">
        <v>0.17</v>
      </c>
      <c r="U4" s="124">
        <v>0.127</v>
      </c>
      <c r="V4" s="126">
        <f>S4*D4</f>
        <v>0.13549000000000003</v>
      </c>
      <c r="W4" s="105">
        <f>T4-V4</f>
        <v>3.4509999999999985E-2</v>
      </c>
      <c r="X4" s="128">
        <f>W4*0.03451</f>
        <v>1.1909400999999995E-3</v>
      </c>
      <c r="Y4" s="117">
        <f>V4-U4</f>
        <v>8.4900000000000253E-3</v>
      </c>
      <c r="Z4" s="117">
        <f>Y4*0.00849</f>
        <v>7.2080100000000211E-5</v>
      </c>
    </row>
    <row r="5" spans="1:26" x14ac:dyDescent="0.25">
      <c r="A5" s="51"/>
      <c r="B5" s="120" t="s">
        <v>16</v>
      </c>
      <c r="C5" s="121"/>
      <c r="D5" s="122"/>
      <c r="E5" s="123"/>
      <c r="F5" s="124"/>
      <c r="G5" s="125"/>
      <c r="H5" s="126"/>
      <c r="I5" s="119"/>
      <c r="J5" s="127"/>
      <c r="K5" s="116"/>
      <c r="L5" s="128"/>
      <c r="M5" s="129"/>
      <c r="N5" s="130"/>
      <c r="O5" s="119"/>
      <c r="P5" s="131"/>
      <c r="Q5" s="115"/>
      <c r="R5" s="115"/>
      <c r="S5" s="125"/>
      <c r="T5" s="123"/>
      <c r="U5" s="124"/>
      <c r="V5" s="126"/>
      <c r="W5" s="116"/>
      <c r="X5" s="128"/>
      <c r="Y5" s="117"/>
      <c r="Z5" s="117"/>
    </row>
    <row r="6" spans="1:26" x14ac:dyDescent="0.25">
      <c r="A6" s="132" t="s">
        <v>17</v>
      </c>
      <c r="B6" s="133" t="s">
        <v>18</v>
      </c>
      <c r="C6" s="98" t="s">
        <v>19</v>
      </c>
      <c r="D6" s="134">
        <v>0.13200000000000001</v>
      </c>
      <c r="E6" s="135">
        <v>0.13200000000000001</v>
      </c>
      <c r="F6" s="136">
        <v>9.3799999999999994E-2</v>
      </c>
      <c r="G6" s="137">
        <v>1</v>
      </c>
      <c r="H6" s="138">
        <f>D6*G6</f>
        <v>0.13200000000000001</v>
      </c>
      <c r="I6" s="139">
        <f>E6-H6</f>
        <v>0</v>
      </c>
      <c r="J6" s="140">
        <f>I6*0</f>
        <v>0</v>
      </c>
      <c r="K6" s="141">
        <f>H6-F6</f>
        <v>3.8200000000000012E-2</v>
      </c>
      <c r="L6" s="140">
        <f>K6*0.0382</f>
        <v>1.4592400000000003E-3</v>
      </c>
      <c r="M6" s="142">
        <v>0.71060678321664827</v>
      </c>
      <c r="N6" s="143">
        <f>M6*D6</f>
        <v>9.3800095384597576E-2</v>
      </c>
      <c r="O6" s="144">
        <f>E6-N6</f>
        <v>3.819990461540243E-2</v>
      </c>
      <c r="P6" s="145">
        <f>O6*0.0382</f>
        <v>1.4592363563083728E-3</v>
      </c>
      <c r="Q6" s="144">
        <f>N6-F6</f>
        <v>9.5384597581515962E-8</v>
      </c>
      <c r="R6" s="145">
        <f>Q6*0</f>
        <v>0</v>
      </c>
      <c r="S6" s="142">
        <v>0.75614542431398624</v>
      </c>
      <c r="T6" s="135">
        <v>0.13200000000000001</v>
      </c>
      <c r="U6" s="136">
        <v>9.3799999999999994E-2</v>
      </c>
      <c r="V6" s="143">
        <f>S6*D6</f>
        <v>9.9811196009446185E-2</v>
      </c>
      <c r="W6" s="146">
        <f>T6-V6</f>
        <v>3.2188803990553821E-2</v>
      </c>
      <c r="X6" s="140">
        <f>W6*0.032189</f>
        <v>1.0361254116519371E-3</v>
      </c>
      <c r="Y6" s="146">
        <f>V6-U6</f>
        <v>6.0111960094461903E-3</v>
      </c>
      <c r="Z6" s="140">
        <f>Y6*0.006011</f>
        <v>3.6133299212781052E-5</v>
      </c>
    </row>
    <row r="7" spans="1:26" x14ac:dyDescent="0.25">
      <c r="A7" s="12">
        <v>0.13200000000000001</v>
      </c>
      <c r="B7" s="147"/>
      <c r="C7" s="109"/>
      <c r="D7" s="148"/>
      <c r="E7" s="149"/>
      <c r="F7" s="150"/>
      <c r="G7" s="151"/>
      <c r="H7" s="152"/>
      <c r="I7" s="153"/>
      <c r="J7" s="154"/>
      <c r="K7" s="155"/>
      <c r="L7" s="154"/>
      <c r="M7" s="156"/>
      <c r="N7" s="152"/>
      <c r="O7" s="157"/>
      <c r="P7" s="158"/>
      <c r="Q7" s="155"/>
      <c r="R7" s="158"/>
      <c r="S7" s="156"/>
      <c r="T7" s="149"/>
      <c r="U7" s="150"/>
      <c r="V7" s="152"/>
      <c r="W7" s="159"/>
      <c r="X7" s="154"/>
      <c r="Y7" s="159"/>
      <c r="Z7" s="154"/>
    </row>
    <row r="8" spans="1:26" x14ac:dyDescent="0.25">
      <c r="A8" s="50"/>
      <c r="B8" s="160" t="s">
        <v>98</v>
      </c>
      <c r="C8" s="50" t="s">
        <v>32</v>
      </c>
      <c r="D8" s="50">
        <v>7.5999999999999998E-2</v>
      </c>
      <c r="E8" s="161">
        <v>7.5999999999999998E-2</v>
      </c>
      <c r="F8" s="162">
        <v>1.7999999999999999E-2</v>
      </c>
      <c r="G8" s="163">
        <v>0.42540432707150833</v>
      </c>
      <c r="H8" s="164">
        <f>D8*G8</f>
        <v>3.2330728857434633E-2</v>
      </c>
      <c r="I8" s="165">
        <f>E8-H8</f>
        <v>4.3669271142565365E-2</v>
      </c>
      <c r="J8" s="166">
        <f>I8*0.04367</f>
        <v>1.9070370707958296E-3</v>
      </c>
      <c r="K8" s="166">
        <f>H8-F8</f>
        <v>1.4330728857434635E-2</v>
      </c>
      <c r="L8" s="166">
        <f>K8*0.014331</f>
        <v>2.0537367525589575E-4</v>
      </c>
      <c r="M8" s="163">
        <v>1</v>
      </c>
      <c r="N8" s="164">
        <f>M8*D8</f>
        <v>7.5999999999999998E-2</v>
      </c>
      <c r="O8" s="165">
        <f>E8-N8</f>
        <v>0</v>
      </c>
      <c r="P8" s="165">
        <f>O8*0.00819</f>
        <v>0</v>
      </c>
      <c r="Q8" s="165">
        <f>N8-F8</f>
        <v>5.7999999999999996E-2</v>
      </c>
      <c r="R8" s="165">
        <f>Q8*0.058</f>
        <v>3.3639999999999998E-3</v>
      </c>
      <c r="S8" s="163">
        <v>0.73699999999999999</v>
      </c>
      <c r="T8" s="161">
        <v>7.5999999999999998E-2</v>
      </c>
      <c r="U8" s="162">
        <v>1.7999999999999999E-2</v>
      </c>
      <c r="V8" s="164">
        <v>1.7514902510271452E-2</v>
      </c>
      <c r="W8" s="166">
        <f>T8-V8</f>
        <v>5.8485097489728549E-2</v>
      </c>
      <c r="X8" s="166">
        <f>W8*0.164585</f>
        <v>9.625769770346973E-3</v>
      </c>
      <c r="Y8" s="166">
        <v>0</v>
      </c>
      <c r="Z8" s="166">
        <f>Y8*0.078121</f>
        <v>0</v>
      </c>
    </row>
    <row r="9" spans="1:26" x14ac:dyDescent="0.25">
      <c r="A9" s="51"/>
      <c r="B9" s="160" t="s">
        <v>13</v>
      </c>
      <c r="C9" s="4" t="s">
        <v>32</v>
      </c>
      <c r="D9" s="50">
        <v>0.08</v>
      </c>
      <c r="E9" s="161">
        <v>0.08</v>
      </c>
      <c r="F9" s="162">
        <v>6.5000000000000002E-2</v>
      </c>
      <c r="G9" s="163">
        <v>0.81612090680100757</v>
      </c>
      <c r="H9" s="164">
        <f>D9*G9</f>
        <v>6.5289672544080607E-2</v>
      </c>
      <c r="I9" s="165">
        <f>E9-H9</f>
        <v>1.4710327455919395E-2</v>
      </c>
      <c r="J9" s="166">
        <f>I9*0.01471</f>
        <v>2.1638891687657431E-4</v>
      </c>
      <c r="K9" s="166">
        <v>0</v>
      </c>
      <c r="L9" s="166">
        <f>K9*0.00029</f>
        <v>0</v>
      </c>
      <c r="M9" s="163">
        <v>1</v>
      </c>
      <c r="N9" s="164">
        <f>M9*D9</f>
        <v>0.08</v>
      </c>
      <c r="O9" s="165">
        <f>E9-N9</f>
        <v>0</v>
      </c>
      <c r="P9" s="165">
        <v>0</v>
      </c>
      <c r="Q9" s="165">
        <f>N9-F9</f>
        <v>1.4999999999999999E-2</v>
      </c>
      <c r="R9" s="165">
        <f>Q9*0.015</f>
        <v>2.2499999999999999E-4</v>
      </c>
      <c r="S9" s="163">
        <v>0.84382871536523929</v>
      </c>
      <c r="T9" s="161">
        <v>0.08</v>
      </c>
      <c r="U9" s="162">
        <v>6.5000000000000002E-2</v>
      </c>
      <c r="V9" s="164">
        <f>S9*D9</f>
        <v>6.750629722921915E-2</v>
      </c>
      <c r="W9" s="166">
        <f>T9-V9</f>
        <v>1.2493702770780851E-2</v>
      </c>
      <c r="X9" s="166">
        <f>W9*0.012494</f>
        <v>1.5609632241813596E-4</v>
      </c>
      <c r="Y9" s="166">
        <f>V9-U9</f>
        <v>2.5062972292191482E-3</v>
      </c>
      <c r="Z9" s="166">
        <f>Y9*0.002506</f>
        <v>6.2807808564231854E-6</v>
      </c>
    </row>
    <row r="10" spans="1:26" x14ac:dyDescent="0.25">
      <c r="A10" s="51" t="s">
        <v>20</v>
      </c>
      <c r="B10" s="167" t="s">
        <v>26</v>
      </c>
      <c r="C10" s="168"/>
      <c r="D10" s="169"/>
      <c r="E10" s="170"/>
      <c r="F10" s="171"/>
      <c r="G10" s="172"/>
      <c r="H10" s="173"/>
      <c r="I10" s="174"/>
      <c r="J10" s="175"/>
      <c r="K10" s="175"/>
      <c r="L10" s="175"/>
      <c r="M10" s="172"/>
      <c r="N10" s="173"/>
      <c r="O10" s="174"/>
      <c r="P10" s="174"/>
      <c r="Q10" s="174"/>
      <c r="R10" s="174"/>
      <c r="S10" s="172"/>
      <c r="T10" s="170"/>
      <c r="U10" s="171"/>
      <c r="V10" s="173"/>
      <c r="W10" s="175"/>
      <c r="X10" s="175"/>
      <c r="Y10" s="175"/>
      <c r="Z10" s="175"/>
    </row>
    <row r="11" spans="1:26" x14ac:dyDescent="0.25">
      <c r="A11" s="51">
        <v>0.253</v>
      </c>
      <c r="B11" s="97" t="s">
        <v>99</v>
      </c>
      <c r="C11" s="50" t="s">
        <v>32</v>
      </c>
      <c r="D11" s="50">
        <v>6.5000000000000002E-2</v>
      </c>
      <c r="E11" s="161">
        <v>6.5000000000000002E-2</v>
      </c>
      <c r="F11" s="162">
        <v>0.05</v>
      </c>
      <c r="G11" s="163">
        <v>0.76755509994874449</v>
      </c>
      <c r="H11" s="164">
        <f>G11*D11</f>
        <v>4.9891081496668391E-2</v>
      </c>
      <c r="I11" s="165">
        <f>E11-H11</f>
        <v>1.5108918503331611E-2</v>
      </c>
      <c r="J11" s="166">
        <f>I11*0.01511</f>
        <v>2.2829575858534064E-4</v>
      </c>
      <c r="K11" s="166">
        <v>0</v>
      </c>
      <c r="L11" s="166">
        <v>0</v>
      </c>
      <c r="M11" s="163">
        <v>1</v>
      </c>
      <c r="N11" s="164">
        <f>M11*D11</f>
        <v>6.5000000000000002E-2</v>
      </c>
      <c r="O11" s="165">
        <v>0</v>
      </c>
      <c r="P11" s="165">
        <v>0</v>
      </c>
      <c r="Q11" s="165">
        <f>N11-F11</f>
        <v>1.4999999999999999E-2</v>
      </c>
      <c r="R11" s="165">
        <f>Q11*0.015</f>
        <v>2.2499999999999999E-4</v>
      </c>
      <c r="S11" s="163">
        <v>0.82816504356740128</v>
      </c>
      <c r="T11" s="161">
        <v>6.5000000000000002E-2</v>
      </c>
      <c r="U11" s="162">
        <v>0.05</v>
      </c>
      <c r="V11" s="164">
        <f>S11*D11</f>
        <v>5.3830727831881087E-2</v>
      </c>
      <c r="W11" s="166">
        <f>T11-V11</f>
        <v>1.1169272168118916E-2</v>
      </c>
      <c r="X11" s="166">
        <f>W11*0.011169</f>
        <v>1.2474960084572016E-4</v>
      </c>
      <c r="Y11" s="166">
        <f>V11-U11</f>
        <v>3.8307278318810839E-3</v>
      </c>
      <c r="Z11" s="166">
        <f>Y11*0.003831</f>
        <v>1.4675518323936434E-5</v>
      </c>
    </row>
    <row r="12" spans="1:26" x14ac:dyDescent="0.25">
      <c r="A12" s="51"/>
      <c r="B12" s="160" t="s">
        <v>76</v>
      </c>
      <c r="C12" s="50" t="s">
        <v>29</v>
      </c>
      <c r="D12" s="50">
        <v>3.2000000000000001E-2</v>
      </c>
      <c r="E12" s="161">
        <v>3.2000000000000001E-2</v>
      </c>
      <c r="F12" s="162">
        <v>2E-3</v>
      </c>
      <c r="G12" s="163">
        <v>6.680265170831208E-2</v>
      </c>
      <c r="H12" s="164">
        <f>D12*G12</f>
        <v>2.1376848546659868E-3</v>
      </c>
      <c r="I12" s="165">
        <f>E12-H12</f>
        <v>2.9862315145334013E-2</v>
      </c>
      <c r="J12" s="166">
        <f>I12*0.02986</f>
        <v>8.916887302396736E-4</v>
      </c>
      <c r="K12" s="166">
        <v>0</v>
      </c>
      <c r="L12" s="166">
        <v>0</v>
      </c>
      <c r="M12" s="163">
        <v>1</v>
      </c>
      <c r="N12" s="164">
        <f>M12*D12</f>
        <v>3.2000000000000001E-2</v>
      </c>
      <c r="O12" s="165">
        <f>E12-N12</f>
        <v>0</v>
      </c>
      <c r="P12" s="165">
        <f>O12*0</f>
        <v>0</v>
      </c>
      <c r="Q12" s="165">
        <f>N12-F12</f>
        <v>0.03</v>
      </c>
      <c r="R12" s="165">
        <f>Q12*0.03</f>
        <v>8.9999999999999998E-4</v>
      </c>
      <c r="S12" s="163">
        <v>0.124956654767976</v>
      </c>
      <c r="T12" s="161">
        <v>3.2000000000000001E-2</v>
      </c>
      <c r="U12" s="162">
        <v>2E-3</v>
      </c>
      <c r="V12" s="164">
        <f>S12*D12</f>
        <v>3.9986129525752326E-3</v>
      </c>
      <c r="W12" s="166">
        <f>T12-V12</f>
        <v>2.8001387047424768E-2</v>
      </c>
      <c r="X12" s="166">
        <f>W12*0.028001</f>
        <v>7.8406683871494096E-4</v>
      </c>
      <c r="Y12" s="166">
        <f>V12-U12</f>
        <v>1.9986129525752325E-3</v>
      </c>
      <c r="Z12" s="166">
        <f>Y12*0.001999</f>
        <v>3.9952272921978895E-6</v>
      </c>
    </row>
    <row r="13" spans="1:26" x14ac:dyDescent="0.25">
      <c r="A13" s="176" t="s">
        <v>100</v>
      </c>
      <c r="B13" s="99" t="s">
        <v>101</v>
      </c>
      <c r="C13" s="134" t="s">
        <v>32</v>
      </c>
      <c r="D13" s="98">
        <v>0.25</v>
      </c>
      <c r="E13" s="177">
        <v>0.25</v>
      </c>
      <c r="F13" s="178">
        <v>0.23100000000000001</v>
      </c>
      <c r="G13" s="142">
        <v>0.9326923076923076</v>
      </c>
      <c r="H13" s="138">
        <f>D13*G13</f>
        <v>0.2331730769230769</v>
      </c>
      <c r="I13" s="144">
        <f>E13-H13</f>
        <v>1.68269230769231E-2</v>
      </c>
      <c r="J13" s="140">
        <f>I13*0.1683</f>
        <v>2.831971153846158E-3</v>
      </c>
      <c r="K13" s="146">
        <f>H13-F13</f>
        <v>2.1730769230768887E-3</v>
      </c>
      <c r="L13" s="140">
        <f>K13*0.230703</f>
        <v>5.0133536538460744E-4</v>
      </c>
      <c r="M13" s="142">
        <v>1</v>
      </c>
      <c r="N13" s="179">
        <f>M13*D13</f>
        <v>0.25</v>
      </c>
      <c r="O13" s="180">
        <f>E13-N13</f>
        <v>0</v>
      </c>
      <c r="P13" s="139">
        <f>O13*0</f>
        <v>0</v>
      </c>
      <c r="Q13" s="145">
        <f>N13-F13</f>
        <v>1.8999999999999989E-2</v>
      </c>
      <c r="R13" s="141">
        <f>Q13*0.24753</f>
        <v>4.7030699999999976E-3</v>
      </c>
      <c r="S13" s="137">
        <v>0.92307692307692302</v>
      </c>
      <c r="T13" s="177">
        <v>0.25</v>
      </c>
      <c r="U13" s="178">
        <v>0.23100000000000001</v>
      </c>
      <c r="V13" s="181">
        <f>S13*D13</f>
        <v>0.23076923076923075</v>
      </c>
      <c r="W13" s="140">
        <f>T13-V13</f>
        <v>1.9230769230769246E-2</v>
      </c>
      <c r="X13" s="146">
        <f>W13*0.019231</f>
        <v>3.698269230769234E-4</v>
      </c>
      <c r="Y13" s="140">
        <v>0</v>
      </c>
      <c r="Z13" s="182">
        <v>0</v>
      </c>
    </row>
    <row r="14" spans="1:26" x14ac:dyDescent="0.25">
      <c r="A14" s="183"/>
      <c r="B14" s="110" t="s">
        <v>102</v>
      </c>
      <c r="C14" s="148"/>
      <c r="D14" s="109"/>
      <c r="E14" s="184"/>
      <c r="F14" s="185"/>
      <c r="G14" s="186"/>
      <c r="H14" s="187"/>
      <c r="I14" s="188"/>
      <c r="J14" s="189"/>
      <c r="K14" s="190"/>
      <c r="L14" s="44"/>
      <c r="M14" s="186"/>
      <c r="N14" s="191"/>
      <c r="O14" s="192"/>
      <c r="P14" s="193"/>
      <c r="Q14" s="194"/>
      <c r="R14" s="195"/>
      <c r="S14" s="196"/>
      <c r="T14" s="184"/>
      <c r="U14" s="185"/>
      <c r="V14" s="197"/>
      <c r="W14" s="189"/>
      <c r="X14" s="190"/>
      <c r="Y14" s="189"/>
      <c r="Z14" s="198"/>
    </row>
    <row r="15" spans="1:26" x14ac:dyDescent="0.25">
      <c r="B15" s="199"/>
      <c r="G15"/>
      <c r="H15" s="202"/>
      <c r="I15"/>
      <c r="J15" s="203">
        <f>SUM(J2:J13)</f>
        <v>1.0061299030343576E-2</v>
      </c>
      <c r="K15"/>
      <c r="L15" s="203">
        <f>SUM(L2:L13)</f>
        <v>2.1691352656405035E-3</v>
      </c>
      <c r="N15" s="202"/>
      <c r="O15"/>
      <c r="P15" s="204">
        <f>SUM(P2:P13)</f>
        <v>1.4592363563083728E-3</v>
      </c>
      <c r="Q15"/>
      <c r="R15" s="204">
        <f>SUM(R2:R13)</f>
        <v>1.357007E-2</v>
      </c>
      <c r="X15" s="203">
        <f>SUM(X2:X13)</f>
        <v>1.5551431367054631E-2</v>
      </c>
      <c r="Z15" s="203">
        <f>SUM(Z2:Z13)</f>
        <v>1.3316492568533875E-4</v>
      </c>
    </row>
    <row r="16" spans="1:26" x14ac:dyDescent="0.25">
      <c r="D16">
        <f>SUM(D2:D13)</f>
        <v>1</v>
      </c>
    </row>
  </sheetData>
  <mergeCells count="1">
    <mergeCell ref="C9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Y30"/>
  <sheetViews>
    <sheetView workbookViewId="0">
      <selection sqref="A1:XFD1048576"/>
    </sheetView>
  </sheetViews>
  <sheetFormatPr defaultRowHeight="15" x14ac:dyDescent="0.25"/>
  <cols>
    <col min="6" max="6" width="10.5703125" customWidth="1"/>
    <col min="7" max="7" width="10.28515625" customWidth="1"/>
    <col min="17" max="18" width="9.140625" style="52"/>
    <col min="25" max="25" width="35.42578125" customWidth="1"/>
    <col min="26" max="26" width="27" customWidth="1"/>
  </cols>
  <sheetData>
    <row r="2" spans="4:12" ht="26.25" x14ac:dyDescent="0.25">
      <c r="E2" s="2" t="s">
        <v>4</v>
      </c>
      <c r="F2" s="3" t="s">
        <v>5</v>
      </c>
      <c r="G2" s="3" t="s">
        <v>6</v>
      </c>
      <c r="H2" s="2" t="s">
        <v>103</v>
      </c>
      <c r="I2" s="3" t="s">
        <v>104</v>
      </c>
      <c r="J2" s="3" t="s">
        <v>105</v>
      </c>
    </row>
    <row r="3" spans="4:12" x14ac:dyDescent="0.25">
      <c r="D3" t="s">
        <v>106</v>
      </c>
      <c r="E3" s="206">
        <v>0.17660000000000001</v>
      </c>
      <c r="F3" s="203">
        <v>8.6900000000000005E-2</v>
      </c>
      <c r="G3" s="204">
        <v>0.20169999999999999</v>
      </c>
      <c r="H3" s="204">
        <v>0.26600000000000001</v>
      </c>
      <c r="I3" s="204">
        <v>0.32200000000000001</v>
      </c>
      <c r="J3" s="206">
        <v>0.2402</v>
      </c>
    </row>
    <row r="4" spans="4:12" x14ac:dyDescent="0.25">
      <c r="D4" t="s">
        <v>107</v>
      </c>
      <c r="E4" s="207">
        <v>0.1535</v>
      </c>
      <c r="F4" s="207">
        <v>0.30869999999999997</v>
      </c>
      <c r="G4" s="208">
        <v>0.13420000000000001</v>
      </c>
      <c r="H4" s="204">
        <v>0.11282</v>
      </c>
      <c r="I4" s="203">
        <v>3.0079999999999999E-2</v>
      </c>
      <c r="J4" s="203">
        <v>0.10557</v>
      </c>
    </row>
    <row r="5" spans="4:12" x14ac:dyDescent="0.25">
      <c r="E5" s="206"/>
    </row>
    <row r="8" spans="4:12" ht="15.75" x14ac:dyDescent="0.25">
      <c r="D8" s="57" t="s">
        <v>108</v>
      </c>
      <c r="E8" s="57" t="s">
        <v>109</v>
      </c>
      <c r="F8" s="57" t="s">
        <v>110</v>
      </c>
    </row>
    <row r="9" spans="4:12" ht="15.75" x14ac:dyDescent="0.25">
      <c r="D9" s="57" t="s">
        <v>4</v>
      </c>
      <c r="E9" s="209">
        <v>4.5999999999999999E-2</v>
      </c>
      <c r="F9" s="209">
        <v>3.3399999999999999E-2</v>
      </c>
      <c r="I9" s="204">
        <f t="shared" ref="I9:I14" si="0">E9+F9</f>
        <v>7.9399999999999998E-2</v>
      </c>
      <c r="K9">
        <f t="shared" ref="K9:K14" si="1">F9/I9</f>
        <v>0.42065491183879095</v>
      </c>
      <c r="L9">
        <v>3</v>
      </c>
    </row>
    <row r="10" spans="4:12" ht="15.75" x14ac:dyDescent="0.25">
      <c r="D10" s="210" t="s">
        <v>5</v>
      </c>
      <c r="E10" s="209">
        <v>3.9100000000000003E-2</v>
      </c>
      <c r="F10" s="209">
        <v>5.57E-2</v>
      </c>
      <c r="I10" s="204">
        <f t="shared" si="0"/>
        <v>9.4799999999999995E-2</v>
      </c>
      <c r="K10">
        <f t="shared" si="1"/>
        <v>0.58755274261603374</v>
      </c>
      <c r="L10">
        <v>1</v>
      </c>
    </row>
    <row r="11" spans="4:12" ht="15.75" x14ac:dyDescent="0.25">
      <c r="D11" s="210" t="s">
        <v>6</v>
      </c>
      <c r="E11" s="209">
        <v>5.2200000000000003E-2</v>
      </c>
      <c r="F11" s="209">
        <v>2.0500000000000001E-2</v>
      </c>
      <c r="I11" s="204">
        <f t="shared" si="0"/>
        <v>7.2700000000000001E-2</v>
      </c>
      <c r="K11">
        <f t="shared" si="1"/>
        <v>0.28198074277854196</v>
      </c>
      <c r="L11">
        <v>4</v>
      </c>
    </row>
    <row r="12" spans="4:12" ht="15.75" x14ac:dyDescent="0.25">
      <c r="D12" s="57" t="s">
        <v>103</v>
      </c>
      <c r="E12" s="209">
        <v>4.0201705403999997E-2</v>
      </c>
      <c r="F12" s="209">
        <v>5.2911896692000006E-2</v>
      </c>
      <c r="I12" s="204">
        <f t="shared" si="0"/>
        <v>9.3113602096000003E-2</v>
      </c>
      <c r="K12">
        <f t="shared" si="1"/>
        <v>0.56825099127244494</v>
      </c>
      <c r="L12">
        <v>2</v>
      </c>
    </row>
    <row r="13" spans="4:12" ht="15.75" x14ac:dyDescent="0.25">
      <c r="D13" s="210" t="s">
        <v>104</v>
      </c>
      <c r="E13" s="209">
        <v>0.10146348391453</v>
      </c>
      <c r="F13" s="209">
        <v>1.6317800524999999E-4</v>
      </c>
      <c r="I13" s="204">
        <f t="shared" si="0"/>
        <v>0.10162666191978</v>
      </c>
      <c r="K13">
        <f t="shared" si="1"/>
        <v>1.605661370426652E-3</v>
      </c>
      <c r="L13">
        <v>6</v>
      </c>
    </row>
    <row r="14" spans="4:12" ht="15.75" x14ac:dyDescent="0.25">
      <c r="D14" s="210" t="s">
        <v>105</v>
      </c>
      <c r="E14" s="209">
        <v>6.8228907838499997E-2</v>
      </c>
      <c r="F14" s="209">
        <v>7.5300361031000003E-3</v>
      </c>
      <c r="I14" s="204">
        <f t="shared" si="0"/>
        <v>7.5758943941600002E-2</v>
      </c>
      <c r="K14">
        <f t="shared" si="1"/>
        <v>9.9394681490077921E-2</v>
      </c>
      <c r="L14">
        <v>5</v>
      </c>
    </row>
    <row r="18" spans="4:25" ht="15.75" x14ac:dyDescent="0.25">
      <c r="D18" s="203"/>
      <c r="N18" s="57" t="s">
        <v>108</v>
      </c>
      <c r="O18" s="57" t="s">
        <v>109</v>
      </c>
      <c r="P18" s="57" t="s">
        <v>110</v>
      </c>
      <c r="Q18" s="211" t="s">
        <v>111</v>
      </c>
      <c r="R18" s="211" t="s">
        <v>112</v>
      </c>
    </row>
    <row r="19" spans="4:25" ht="15.75" x14ac:dyDescent="0.25">
      <c r="N19" s="57" t="s">
        <v>4</v>
      </c>
      <c r="O19" s="209">
        <v>1.0061E-2</v>
      </c>
      <c r="P19" s="209">
        <v>2.1689999999999999E-3</v>
      </c>
      <c r="Q19" s="212">
        <v>0.17735077677841371</v>
      </c>
      <c r="R19" s="212">
        <v>2</v>
      </c>
      <c r="S19" s="204">
        <f t="shared" ref="S19:S21" si="2">O19+P19</f>
        <v>1.2230000000000001E-2</v>
      </c>
      <c r="T19" s="204"/>
      <c r="U19" t="s">
        <v>113</v>
      </c>
      <c r="V19">
        <f>P19/S19</f>
        <v>0.17735077677841371</v>
      </c>
      <c r="W19">
        <v>2</v>
      </c>
    </row>
    <row r="20" spans="4:25" ht="15.75" x14ac:dyDescent="0.25">
      <c r="D20" s="203"/>
      <c r="N20" s="210" t="s">
        <v>5</v>
      </c>
      <c r="O20" s="209">
        <v>1.4599999999999999E-3</v>
      </c>
      <c r="P20" s="209">
        <v>1.357E-2</v>
      </c>
      <c r="Q20" s="212">
        <v>0.90286094477711243</v>
      </c>
      <c r="R20" s="212">
        <v>1</v>
      </c>
      <c r="S20" s="204">
        <f t="shared" si="2"/>
        <v>1.503E-2</v>
      </c>
      <c r="T20" s="204"/>
      <c r="U20" t="s">
        <v>113</v>
      </c>
      <c r="V20">
        <f>P20/S20</f>
        <v>0.90286094477711243</v>
      </c>
      <c r="W20">
        <v>1</v>
      </c>
    </row>
    <row r="21" spans="4:25" ht="15.75" x14ac:dyDescent="0.25">
      <c r="D21" s="49"/>
      <c r="N21" s="210" t="s">
        <v>6</v>
      </c>
      <c r="O21" s="209">
        <v>1.5551000000000001E-2</v>
      </c>
      <c r="P21" s="209">
        <v>1.3300000000000001E-4</v>
      </c>
      <c r="Q21" s="212">
        <v>8.479979597041571E-3</v>
      </c>
      <c r="R21" s="212">
        <v>3</v>
      </c>
      <c r="S21" s="204">
        <f t="shared" si="2"/>
        <v>1.5684E-2</v>
      </c>
      <c r="T21" s="204"/>
      <c r="U21" t="s">
        <v>113</v>
      </c>
      <c r="V21">
        <f>P21/S21</f>
        <v>8.479979597041571E-3</v>
      </c>
      <c r="W21">
        <v>3</v>
      </c>
    </row>
    <row r="24" spans="4:25" x14ac:dyDescent="0.25">
      <c r="Y24" t="s">
        <v>114</v>
      </c>
    </row>
    <row r="25" spans="4:25" x14ac:dyDescent="0.25">
      <c r="Y25" t="s">
        <v>115</v>
      </c>
    </row>
    <row r="26" spans="4:25" x14ac:dyDescent="0.25">
      <c r="Y26" t="s">
        <v>116</v>
      </c>
    </row>
    <row r="27" spans="4:25" x14ac:dyDescent="0.25">
      <c r="Y27" t="s">
        <v>117</v>
      </c>
    </row>
    <row r="28" spans="4:25" x14ac:dyDescent="0.25">
      <c r="Y28" t="s">
        <v>118</v>
      </c>
    </row>
    <row r="29" spans="4:25" x14ac:dyDescent="0.25">
      <c r="Y29" t="s">
        <v>119</v>
      </c>
    </row>
    <row r="30" spans="4:25" x14ac:dyDescent="0.25">
      <c r="Y30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24"/>
  <sheetViews>
    <sheetView tabSelected="1" workbookViewId="0">
      <selection sqref="A1:XFD1048576"/>
    </sheetView>
  </sheetViews>
  <sheetFormatPr defaultRowHeight="15" x14ac:dyDescent="0.25"/>
  <cols>
    <col min="1" max="2" width="9.140625" style="213"/>
    <col min="3" max="3" width="16.42578125" style="213" customWidth="1"/>
    <col min="4" max="4" width="9.5703125" style="214" customWidth="1"/>
    <col min="5" max="13" width="9.140625" style="213"/>
    <col min="14" max="14" width="11.28515625" style="213" customWidth="1"/>
    <col min="15" max="15" width="10.7109375" style="213" customWidth="1"/>
    <col min="16" max="16" width="10.85546875" style="213" customWidth="1"/>
    <col min="17" max="16384" width="9.140625" style="213"/>
  </cols>
  <sheetData>
    <row r="3" spans="3:15" x14ac:dyDescent="0.25">
      <c r="C3" s="215" t="s">
        <v>121</v>
      </c>
      <c r="D3" s="215" t="s">
        <v>122</v>
      </c>
      <c r="E3" s="216"/>
      <c r="F3" s="216"/>
      <c r="G3" s="217"/>
    </row>
    <row r="4" spans="3:15" x14ac:dyDescent="0.25">
      <c r="C4" s="218"/>
      <c r="D4" s="218"/>
      <c r="E4" s="219" t="s">
        <v>4</v>
      </c>
      <c r="F4" s="219" t="s">
        <v>5</v>
      </c>
      <c r="G4" s="219" t="s">
        <v>6</v>
      </c>
      <c r="I4" s="219" t="s">
        <v>4</v>
      </c>
      <c r="J4" s="219" t="s">
        <v>5</v>
      </c>
      <c r="K4" s="219" t="s">
        <v>6</v>
      </c>
    </row>
    <row r="5" spans="3:15" ht="15.75" x14ac:dyDescent="0.25">
      <c r="C5" s="220" t="s">
        <v>123</v>
      </c>
      <c r="D5" s="219">
        <v>0.19500000000000001</v>
      </c>
      <c r="E5" s="221">
        <v>9.0884293011952597E-2</v>
      </c>
      <c r="F5" s="221">
        <v>0.81799999999999995</v>
      </c>
      <c r="G5" s="221">
        <v>9.0999999999999998E-2</v>
      </c>
      <c r="I5" s="213">
        <f>D5*E5</f>
        <v>1.7722437137330758E-2</v>
      </c>
      <c r="J5" s="213">
        <f t="shared" ref="J5:J12" si="0">F5*D5</f>
        <v>0.15950999999999999</v>
      </c>
      <c r="K5" s="213">
        <f t="shared" ref="K5:K12" si="1">G5*D5</f>
        <v>1.7745E-2</v>
      </c>
      <c r="O5" s="222"/>
    </row>
    <row r="6" spans="3:15" ht="15.75" x14ac:dyDescent="0.25">
      <c r="C6" s="220" t="s">
        <v>124</v>
      </c>
      <c r="D6" s="219">
        <v>0.17</v>
      </c>
      <c r="E6" s="221">
        <v>7.6881649520254364E-2</v>
      </c>
      <c r="F6" s="221">
        <v>0.69199999999999995</v>
      </c>
      <c r="G6" s="221">
        <v>0.23100000000000001</v>
      </c>
      <c r="I6" s="213">
        <f t="shared" ref="I6:I12" si="2">E6*D6</f>
        <v>1.3069880418443243E-2</v>
      </c>
      <c r="J6" s="213">
        <f t="shared" si="0"/>
        <v>0.11763999999999999</v>
      </c>
      <c r="K6" s="213">
        <f t="shared" si="1"/>
        <v>3.9270000000000006E-2</v>
      </c>
      <c r="O6" s="222"/>
    </row>
    <row r="7" spans="3:15" ht="15.75" x14ac:dyDescent="0.25">
      <c r="C7" s="220" t="s">
        <v>18</v>
      </c>
      <c r="D7" s="219">
        <v>0.13200000000000001</v>
      </c>
      <c r="E7" s="221">
        <v>0.81823141397609478</v>
      </c>
      <c r="F7" s="221">
        <v>9.0999999999999998E-2</v>
      </c>
      <c r="G7" s="221">
        <v>0.09</v>
      </c>
      <c r="I7" s="213">
        <f t="shared" si="2"/>
        <v>0.10800654664484452</v>
      </c>
      <c r="J7" s="213">
        <f t="shared" si="0"/>
        <v>1.2012E-2</v>
      </c>
      <c r="K7" s="213">
        <f t="shared" si="1"/>
        <v>1.188E-2</v>
      </c>
      <c r="O7" s="222"/>
    </row>
    <row r="8" spans="3:15" s="223" customFormat="1" ht="15.75" x14ac:dyDescent="0.25">
      <c r="C8" s="224" t="s">
        <v>125</v>
      </c>
      <c r="D8" s="225">
        <v>7.5999999999999998E-2</v>
      </c>
      <c r="E8" s="221">
        <v>0.41206441060797783</v>
      </c>
      <c r="F8" s="221">
        <v>5.8000000000000003E-2</v>
      </c>
      <c r="G8" s="221">
        <v>0.52900000000000003</v>
      </c>
      <c r="I8" s="223">
        <f t="shared" si="2"/>
        <v>3.1316895206206313E-2</v>
      </c>
      <c r="J8" s="223">
        <f t="shared" si="0"/>
        <v>4.4080000000000005E-3</v>
      </c>
      <c r="K8" s="223">
        <f t="shared" si="1"/>
        <v>4.0204000000000004E-2</v>
      </c>
    </row>
    <row r="9" spans="3:15" s="223" customFormat="1" ht="15.75" x14ac:dyDescent="0.25">
      <c r="C9" s="224" t="s">
        <v>126</v>
      </c>
      <c r="D9" s="225">
        <v>0.08</v>
      </c>
      <c r="E9" s="221">
        <v>9.0999999999999998E-2</v>
      </c>
      <c r="F9" s="210">
        <v>0.81799999999999995</v>
      </c>
      <c r="G9" s="210">
        <v>9.0999999999999998E-2</v>
      </c>
      <c r="I9" s="223">
        <f t="shared" si="2"/>
        <v>7.28E-3</v>
      </c>
      <c r="J9" s="223">
        <f t="shared" si="0"/>
        <v>6.5439999999999998E-2</v>
      </c>
      <c r="K9" s="223">
        <f t="shared" si="1"/>
        <v>7.28E-3</v>
      </c>
    </row>
    <row r="10" spans="3:15" s="223" customFormat="1" ht="15.75" x14ac:dyDescent="0.25">
      <c r="C10" s="224" t="s">
        <v>127</v>
      </c>
      <c r="D10" s="225">
        <v>6.5000000000000002E-2</v>
      </c>
      <c r="E10" s="221">
        <v>5.2999999999999999E-2</v>
      </c>
      <c r="F10" s="210">
        <v>0.47399999999999998</v>
      </c>
      <c r="G10" s="210">
        <v>0.47399999999999998</v>
      </c>
      <c r="I10" s="223">
        <f t="shared" si="2"/>
        <v>3.4450000000000001E-3</v>
      </c>
      <c r="J10" s="223">
        <f t="shared" si="0"/>
        <v>3.0810000000000001E-2</v>
      </c>
      <c r="K10" s="223">
        <f t="shared" si="1"/>
        <v>3.0810000000000001E-2</v>
      </c>
    </row>
    <row r="11" spans="3:15" s="223" customFormat="1" ht="15.75" x14ac:dyDescent="0.25">
      <c r="C11" s="224" t="s">
        <v>128</v>
      </c>
      <c r="D11" s="225">
        <v>3.2000000000000001E-2</v>
      </c>
      <c r="E11" s="221">
        <v>9.0884293011952597E-2</v>
      </c>
      <c r="F11" s="210">
        <v>0.81799999999999995</v>
      </c>
      <c r="G11" s="210">
        <v>0.09</v>
      </c>
      <c r="I11" s="223">
        <f t="shared" si="2"/>
        <v>2.9082973763824831E-3</v>
      </c>
      <c r="J11" s="223">
        <f t="shared" si="0"/>
        <v>2.6175999999999998E-2</v>
      </c>
      <c r="K11" s="223">
        <f t="shared" si="1"/>
        <v>2.8799999999999997E-3</v>
      </c>
    </row>
    <row r="12" spans="3:15" ht="15.75" x14ac:dyDescent="0.25">
      <c r="C12" s="220" t="s">
        <v>129</v>
      </c>
      <c r="D12" s="219">
        <v>0.25</v>
      </c>
      <c r="E12" s="221">
        <v>9.0999999999999998E-2</v>
      </c>
      <c r="F12" s="57">
        <v>0.81799999999999995</v>
      </c>
      <c r="G12" s="57">
        <v>9.0999999999999998E-2</v>
      </c>
      <c r="I12" s="223">
        <f t="shared" si="2"/>
        <v>2.2749999999999999E-2</v>
      </c>
      <c r="J12" s="223">
        <f t="shared" si="0"/>
        <v>0.20449999999999999</v>
      </c>
      <c r="K12" s="223">
        <f t="shared" si="1"/>
        <v>2.2749999999999999E-2</v>
      </c>
    </row>
    <row r="13" spans="3:15" x14ac:dyDescent="0.25">
      <c r="D13" s="214">
        <f>SUM(D5:D12)</f>
        <v>1</v>
      </c>
      <c r="H13" s="213" t="s">
        <v>130</v>
      </c>
      <c r="I13" s="226">
        <f>SUM(I5:I12)</f>
        <v>0.20649905678320732</v>
      </c>
      <c r="J13" s="226">
        <f>SUM(J5:J12)</f>
        <v>0.62049600000000005</v>
      </c>
      <c r="K13" s="226">
        <f>SUM(K5:K12)</f>
        <v>0.172819</v>
      </c>
      <c r="L13" s="213">
        <f>SUM(I13:K13)</f>
        <v>0.99981405678320745</v>
      </c>
    </row>
    <row r="15" spans="3:15" x14ac:dyDescent="0.25">
      <c r="E15" s="213" t="s">
        <v>4</v>
      </c>
      <c r="F15" s="213">
        <v>0.20599999999999999</v>
      </c>
    </row>
    <row r="16" spans="3:15" x14ac:dyDescent="0.25">
      <c r="E16" s="213" t="s">
        <v>5</v>
      </c>
      <c r="F16" s="213">
        <v>0.622</v>
      </c>
      <c r="J16" s="213" t="s">
        <v>131</v>
      </c>
      <c r="K16" s="213" t="s">
        <v>132</v>
      </c>
      <c r="L16" s="213" t="s">
        <v>132</v>
      </c>
    </row>
    <row r="17" spans="5:16" x14ac:dyDescent="0.25">
      <c r="E17" s="213" t="s">
        <v>6</v>
      </c>
      <c r="F17" s="213">
        <v>0.17199999999999999</v>
      </c>
    </row>
    <row r="20" spans="5:16" x14ac:dyDescent="0.25">
      <c r="N20" s="227" t="s">
        <v>131</v>
      </c>
      <c r="O20" s="228" t="s">
        <v>132</v>
      </c>
      <c r="P20" s="229" t="s">
        <v>132</v>
      </c>
    </row>
    <row r="21" spans="5:16" x14ac:dyDescent="0.25">
      <c r="N21" s="230"/>
      <c r="O21" s="231" t="s">
        <v>133</v>
      </c>
      <c r="P21" s="232" t="s">
        <v>36</v>
      </c>
    </row>
    <row r="22" spans="5:16" x14ac:dyDescent="0.25">
      <c r="N22" s="220" t="s">
        <v>4</v>
      </c>
      <c r="O22" s="219">
        <v>0.20599999999999999</v>
      </c>
      <c r="P22" s="219">
        <v>2</v>
      </c>
    </row>
    <row r="23" spans="5:16" x14ac:dyDescent="0.25">
      <c r="N23" s="220" t="s">
        <v>5</v>
      </c>
      <c r="O23" s="219">
        <v>0.622</v>
      </c>
      <c r="P23" s="219">
        <v>1</v>
      </c>
    </row>
    <row r="24" spans="5:16" x14ac:dyDescent="0.25">
      <c r="N24" s="220" t="s">
        <v>6</v>
      </c>
      <c r="O24" s="219">
        <v>0.17199999999999999</v>
      </c>
      <c r="P24" s="219">
        <v>3</v>
      </c>
    </row>
  </sheetData>
  <mergeCells count="3">
    <mergeCell ref="C3:C4"/>
    <mergeCell ref="D3:D4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Ranking</vt:lpstr>
      <vt:lpstr>Range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2017-11-16T17:03:41Z</dcterms:created>
  <dcterms:modified xsi:type="dcterms:W3CDTF">2017-11-16T17:08:03Z</dcterms:modified>
</cp:coreProperties>
</file>